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ONTROL Y MEDICIÓN\Downloads\"/>
    </mc:Choice>
  </mc:AlternateContent>
  <xr:revisionPtr revIDLastSave="0" documentId="13_ncr:1_{FB802F29-FF9B-4102-88AC-9567487A9A97}" xr6:coauthVersionLast="47" xr6:coauthVersionMax="47" xr10:uidLastSave="{00000000-0000-0000-0000-000000000000}"/>
  <bookViews>
    <workbookView xWindow="810" yWindow="-120" windowWidth="28110" windowHeight="16440" firstSheet="2" activeTab="2" xr2:uid="{99F43E92-13B6-4F7B-878C-79C89D6F730D}"/>
  </bookViews>
  <sheets>
    <sheet name="PROYECCIÓN" sheetId="2" state="hidden" r:id="rId1"/>
    <sheet name="300" sheetId="9" state="hidden" r:id="rId2"/>
    <sheet name="SIMULADOR SMART" sheetId="8" r:id="rId3"/>
    <sheet name="568" sheetId="6" state="hidden" r:id="rId4"/>
  </sheets>
  <definedNames>
    <definedName name="_xlnm.Print_Area" localSheetId="1">'300'!$B$1:$N$26</definedName>
    <definedName name="_xlnm.Print_Area" localSheetId="3">'568'!$B$1:$N$26</definedName>
    <definedName name="_xlnm.Print_Area" localSheetId="0">PROYECCIÓN!$B$1:$M$33</definedName>
    <definedName name="_xlnm.Print_Area" localSheetId="2">'SIMULADOR SMART'!$B$1:$N$26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8" l="1"/>
  <c r="G9" i="8"/>
  <c r="I8" i="8"/>
  <c r="G8" i="8"/>
  <c r="E17" i="9"/>
  <c r="E18" i="9" s="1"/>
  <c r="L16" i="9"/>
  <c r="L17" i="9" s="1"/>
  <c r="E14" i="9"/>
  <c r="S8" i="9"/>
  <c r="R8" i="9"/>
  <c r="Q8" i="9"/>
  <c r="L8" i="9"/>
  <c r="I8" i="9" s="1"/>
  <c r="S6" i="9"/>
  <c r="S5" i="9"/>
  <c r="R5" i="9"/>
  <c r="R6" i="9" s="1"/>
  <c r="Q5" i="9"/>
  <c r="Q6" i="9" s="1"/>
  <c r="L16" i="8"/>
  <c r="L17" i="8" s="1"/>
  <c r="L18" i="8" s="1"/>
  <c r="E14" i="8"/>
  <c r="E17" i="8" s="1"/>
  <c r="S8" i="8"/>
  <c r="R8" i="8"/>
  <c r="Q8" i="8"/>
  <c r="L8" i="8"/>
  <c r="S5" i="8"/>
  <c r="S6" i="8" s="1"/>
  <c r="R5" i="8"/>
  <c r="R6" i="8" s="1"/>
  <c r="Q5" i="8"/>
  <c r="Q6" i="8" s="1"/>
  <c r="E23" i="6"/>
  <c r="H17" i="6"/>
  <c r="H19" i="6" s="1"/>
  <c r="F17" i="6"/>
  <c r="F19" i="6" s="1"/>
  <c r="L16" i="6"/>
  <c r="L17" i="6" s="1"/>
  <c r="L18" i="6" s="1"/>
  <c r="E14" i="6"/>
  <c r="E17" i="6" s="1"/>
  <c r="S8" i="6"/>
  <c r="R8" i="6"/>
  <c r="Q8" i="6"/>
  <c r="L8" i="6"/>
  <c r="G8" i="6" s="1"/>
  <c r="G9" i="6" s="1"/>
  <c r="S5" i="6"/>
  <c r="S6" i="6" s="1"/>
  <c r="R5" i="6"/>
  <c r="R6" i="6" s="1"/>
  <c r="Q5" i="6"/>
  <c r="Q6" i="6" s="1"/>
  <c r="G8" i="9" l="1"/>
  <c r="G11" i="9" s="1"/>
  <c r="G12" i="9" s="1"/>
  <c r="G13" i="9" s="1"/>
  <c r="G14" i="9" s="1"/>
  <c r="G17" i="9" s="1"/>
  <c r="G11" i="8"/>
  <c r="G12" i="8" s="1"/>
  <c r="G13" i="8" s="1"/>
  <c r="G14" i="8" s="1"/>
  <c r="G17" i="8" s="1"/>
  <c r="I11" i="9"/>
  <c r="I12" i="9" s="1"/>
  <c r="I13" i="9" s="1"/>
  <c r="I14" i="9" s="1"/>
  <c r="I17" i="9" s="1"/>
  <c r="G18" i="9"/>
  <c r="G19" i="9"/>
  <c r="I18" i="9"/>
  <c r="I19" i="9"/>
  <c r="M17" i="9"/>
  <c r="L18" i="9"/>
  <c r="E19" i="9"/>
  <c r="E20" i="9" s="1"/>
  <c r="E23" i="9" s="1"/>
  <c r="G9" i="9"/>
  <c r="I9" i="9"/>
  <c r="G15" i="9"/>
  <c r="M16" i="8"/>
  <c r="E18" i="8"/>
  <c r="E19" i="8"/>
  <c r="E20" i="8" s="1"/>
  <c r="E23" i="8" s="1"/>
  <c r="M18" i="8"/>
  <c r="L19" i="8"/>
  <c r="M17" i="8"/>
  <c r="I8" i="6"/>
  <c r="E18" i="6"/>
  <c r="E19" i="6"/>
  <c r="E20" i="6" s="1"/>
  <c r="L19" i="6"/>
  <c r="M18" i="6"/>
  <c r="G11" i="6"/>
  <c r="G12" i="6" s="1"/>
  <c r="G13" i="6" s="1"/>
  <c r="G14" i="6" s="1"/>
  <c r="G17" i="6" s="1"/>
  <c r="M16" i="6"/>
  <c r="M17" i="6"/>
  <c r="I13" i="2"/>
  <c r="G13" i="2"/>
  <c r="E13" i="2"/>
  <c r="E9" i="2"/>
  <c r="L21" i="2"/>
  <c r="I11" i="8" l="1"/>
  <c r="I12" i="8" s="1"/>
  <c r="I13" i="8" s="1"/>
  <c r="I14" i="8" s="1"/>
  <c r="I15" i="8" s="1"/>
  <c r="M16" i="9"/>
  <c r="G15" i="8"/>
  <c r="I15" i="9"/>
  <c r="L19" i="9"/>
  <c r="M18" i="9"/>
  <c r="I20" i="9"/>
  <c r="G20" i="9"/>
  <c r="M19" i="8"/>
  <c r="L20" i="8"/>
  <c r="G18" i="8"/>
  <c r="G19" i="8"/>
  <c r="I11" i="6"/>
  <c r="I12" i="6" s="1"/>
  <c r="I13" i="6" s="1"/>
  <c r="I14" i="6" s="1"/>
  <c r="I17" i="6" s="1"/>
  <c r="I9" i="6"/>
  <c r="G18" i="6"/>
  <c r="F18" i="6"/>
  <c r="G19" i="6"/>
  <c r="G20" i="6" s="1"/>
  <c r="M19" i="6"/>
  <c r="L20" i="6"/>
  <c r="L21" i="6" s="1"/>
  <c r="G21" i="6" s="1"/>
  <c r="G15" i="6"/>
  <c r="G10" i="2"/>
  <c r="E10" i="2"/>
  <c r="E11" i="2" s="1"/>
  <c r="L22" i="2"/>
  <c r="L23" i="2" s="1"/>
  <c r="L24" i="2" s="1"/>
  <c r="L26" i="2" s="1"/>
  <c r="I19" i="2"/>
  <c r="G19" i="2"/>
  <c r="E19" i="2"/>
  <c r="I17" i="8" l="1"/>
  <c r="I18" i="8" s="1"/>
  <c r="M19" i="9"/>
  <c r="L20" i="9"/>
  <c r="G20" i="8"/>
  <c r="L21" i="8"/>
  <c r="G21" i="8" s="1"/>
  <c r="M20" i="8"/>
  <c r="I19" i="6"/>
  <c r="I18" i="6"/>
  <c r="I15" i="6"/>
  <c r="M20" i="6"/>
  <c r="L27" i="2"/>
  <c r="I9" i="2"/>
  <c r="I10" i="2"/>
  <c r="G9" i="2"/>
  <c r="G11" i="2"/>
  <c r="I19" i="8" l="1"/>
  <c r="I20" i="8" s="1"/>
  <c r="I22" i="8" s="1"/>
  <c r="I23" i="8" s="1"/>
  <c r="I20" i="6"/>
  <c r="I21" i="6"/>
  <c r="L21" i="9"/>
  <c r="M20" i="9"/>
  <c r="G22" i="8"/>
  <c r="G23" i="8" s="1"/>
  <c r="G22" i="6"/>
  <c r="G23" i="6"/>
  <c r="I22" i="6"/>
  <c r="I23" i="6" s="1"/>
  <c r="I11" i="2"/>
  <c r="L11" i="2"/>
  <c r="L12" i="2" s="1"/>
  <c r="L13" i="2" s="1"/>
  <c r="E27" i="2"/>
  <c r="E15" i="2"/>
  <c r="E20" i="2" s="1"/>
  <c r="E21" i="2" s="1"/>
  <c r="G15" i="2"/>
  <c r="G27" i="2"/>
  <c r="I21" i="8" l="1"/>
  <c r="I21" i="9"/>
  <c r="G21" i="9"/>
  <c r="I22" i="9"/>
  <c r="I23" i="9" s="1"/>
  <c r="G22" i="9"/>
  <c r="G23" i="9" s="1"/>
  <c r="I15" i="2"/>
  <c r="I20" i="2" s="1"/>
  <c r="I21" i="2" s="1"/>
  <c r="I27" i="2"/>
  <c r="G25" i="2"/>
  <c r="G26" i="2" s="1"/>
  <c r="G30" i="2" s="1"/>
  <c r="I25" i="2"/>
  <c r="I26" i="2" s="1"/>
  <c r="I30" i="2" s="1"/>
  <c r="E25" i="2"/>
  <c r="E26" i="2" s="1"/>
  <c r="E30" i="2" s="1"/>
  <c r="I16" i="2"/>
  <c r="I22" i="2"/>
  <c r="I17" i="2"/>
  <c r="I18" i="2"/>
  <c r="G17" i="2"/>
  <c r="G18" i="2"/>
  <c r="G16" i="2"/>
  <c r="G20" i="2"/>
  <c r="G21" i="2" s="1"/>
  <c r="I23" i="2" l="1"/>
  <c r="G22" i="2"/>
</calcChain>
</file>

<file path=xl/sharedStrings.xml><?xml version="1.0" encoding="utf-8"?>
<sst xmlns="http://schemas.openxmlformats.org/spreadsheetml/2006/main" count="192" uniqueCount="84">
  <si>
    <t>Financiamiento</t>
  </si>
  <si>
    <t>% de descuento</t>
  </si>
  <si>
    <t>Descuento</t>
  </si>
  <si>
    <t>Inversión Inicial Gradual</t>
  </si>
  <si>
    <t>Enganche</t>
  </si>
  <si>
    <t>% enganche</t>
  </si>
  <si>
    <t>% a financiar</t>
  </si>
  <si>
    <t>Importe a financiar</t>
  </si>
  <si>
    <t>Mensualidades 1 a 36</t>
  </si>
  <si>
    <t>Mensualidades 37 a 60</t>
  </si>
  <si>
    <t>Mensualidades 61 a 120</t>
  </si>
  <si>
    <t>Meses de financiamiento</t>
  </si>
  <si>
    <t>3 años</t>
  </si>
  <si>
    <t>5 años</t>
  </si>
  <si>
    <t>10 años</t>
  </si>
  <si>
    <t>Proyección del activo</t>
  </si>
  <si>
    <t>Rendimiento en plusvalía anual</t>
  </si>
  <si>
    <t>Valor en 1 año</t>
  </si>
  <si>
    <t>Valor en 2 años</t>
  </si>
  <si>
    <t>Valor en 3 años</t>
  </si>
  <si>
    <t>Utilidad en 3  años</t>
  </si>
  <si>
    <t>Rendimiento proyectado en 3 años</t>
  </si>
  <si>
    <t>Capitalización en rentas</t>
  </si>
  <si>
    <t>Proyección en rentas</t>
  </si>
  <si>
    <t>Renta actual por m2</t>
  </si>
  <si>
    <t>Renta por m2 en 1 año</t>
  </si>
  <si>
    <t>Renta por m2 en 2 años</t>
  </si>
  <si>
    <t>Renta por m2 en 3 años</t>
  </si>
  <si>
    <t>Incremento anual en rentas</t>
  </si>
  <si>
    <t>Renta mensual proyectada</t>
  </si>
  <si>
    <t>Renta anual proyectada</t>
  </si>
  <si>
    <t>10% a la firma de contrato</t>
  </si>
  <si>
    <t>10% en mensualidad 12</t>
  </si>
  <si>
    <t>10% en mensualidad 24</t>
  </si>
  <si>
    <t>Rendimiento dividido entre 3</t>
  </si>
  <si>
    <t>Precio de lista x m2</t>
  </si>
  <si>
    <t>SIMULADOR  NAVETEC / PROYECCIÓN</t>
  </si>
  <si>
    <t>CAT</t>
  </si>
  <si>
    <t>Factor IVA</t>
  </si>
  <si>
    <t>Factor mensualidad</t>
  </si>
  <si>
    <t>P. U. con descuento C / IVA</t>
  </si>
  <si>
    <t>Precio de la nave c / IVA</t>
  </si>
  <si>
    <t>Renta actual por m2 c / IVA</t>
  </si>
  <si>
    <t>Metraje en m2</t>
  </si>
  <si>
    <t>FECHA DE VERSIÓN 08-01-2025</t>
  </si>
  <si>
    <t>ONE</t>
  </si>
  <si>
    <t>PLUS</t>
  </si>
  <si>
    <t>EXCLUSIVE</t>
  </si>
  <si>
    <t>Valor en 4 años</t>
  </si>
  <si>
    <t>NAVES</t>
  </si>
  <si>
    <t>PRECIO NORMAL</t>
  </si>
  <si>
    <t>DESCUENTO 5%</t>
  </si>
  <si>
    <t>M2</t>
  </si>
  <si>
    <t>TOTAL</t>
  </si>
  <si>
    <t>Plazo</t>
  </si>
  <si>
    <t>Ticket</t>
  </si>
  <si>
    <t>Valor del inmueble</t>
  </si>
  <si>
    <t>4 años</t>
  </si>
  <si>
    <t>SIMULADOR  SMART CAPITAL</t>
  </si>
  <si>
    <t>Ticket necesarios</t>
  </si>
  <si>
    <t>% del inmueble</t>
  </si>
  <si>
    <t>Valor resntante</t>
  </si>
  <si>
    <t>% del inmueble necesario</t>
  </si>
  <si>
    <t>% Rendimiento</t>
  </si>
  <si>
    <t>$ Rendimiento anual</t>
  </si>
  <si>
    <t>$ rendimiento bimestral</t>
  </si>
  <si>
    <t>Rendimiento en 4 Años $</t>
  </si>
  <si>
    <t>Rendimiento en 4 Años %</t>
  </si>
  <si>
    <t>Anualizada</t>
  </si>
  <si>
    <t>DESCUENTO</t>
  </si>
  <si>
    <t>PRECIO CON DESCUENTO</t>
  </si>
  <si>
    <t>Precio con descuento</t>
  </si>
  <si>
    <t>Valor Hoy</t>
  </si>
  <si>
    <t>Tickets necesarios</t>
  </si>
  <si>
    <t>Tickets $ necesarios</t>
  </si>
  <si>
    <t>Avalúo</t>
  </si>
  <si>
    <t>¿Qué Rendimientos?</t>
  </si>
  <si>
    <t>¿Budget para Invertir?</t>
  </si>
  <si>
    <t>¿Qué Instrumentos de Inversión?</t>
  </si>
  <si>
    <t>Ganancia Inicial (Descuento)</t>
  </si>
  <si>
    <t>Rendimiento + Plusvalía total (%)</t>
  </si>
  <si>
    <t>Rendimiento + Plusvalía total ($)</t>
  </si>
  <si>
    <t>Total Aumento Valor</t>
  </si>
  <si>
    <t>Valor restante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</si>
</sst>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0.0%"/>
    <numFmt numFmtId="167" formatCode="_-* #,##0.000_-;\-* #,##0.000_-;_-* &quot;-&quot;??_-;_-@_-"/>
    <numFmt numFmtId="168" formatCode="&quot;$&quot;#,##0.00"/>
    <numFmt numFmtId="169" formatCode="0.0"/>
    <numFmt numFmtId="170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b/>
      <sz val="10"/>
      <color rgb="FF002060"/>
      <name val="Roboto"/>
    </font>
    <font>
      <sz val="10"/>
      <color theme="0" tint="-0.249977111117893"/>
      <name val="Roboto"/>
    </font>
    <font>
      <sz val="10"/>
      <color rgb="FF002060"/>
      <name val="Roboto"/>
    </font>
    <font>
      <b/>
      <sz val="10"/>
      <color theme="0"/>
      <name val="Roboto"/>
    </font>
    <font>
      <b/>
      <sz val="10"/>
      <color theme="1"/>
      <name val="Roboto"/>
    </font>
    <font>
      <sz val="10"/>
      <color theme="1"/>
      <name val="Roboto"/>
    </font>
    <font>
      <b/>
      <sz val="16"/>
      <color rgb="FF002060"/>
      <name val="Roboto"/>
    </font>
    <font>
      <b/>
      <sz val="12"/>
      <color theme="0"/>
      <name val="Roboto"/>
    </font>
    <font>
      <i/>
      <sz val="8"/>
      <color rgb="FF002060"/>
      <name val="Roboto"/>
    </font>
    <font>
      <b/>
      <sz val="11"/>
      <color theme="1"/>
      <name val="Aptos Narrow"/>
      <scheme val="minor"/>
    </font>
    <font>
      <sz val="10"/>
      <color theme="0"/>
      <name val="Roboto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D4F1"/>
        <bgColor indexed="64"/>
      </patternFill>
    </fill>
    <fill>
      <patternFill patternType="solid">
        <fgColor rgb="FF00285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2D6E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9" fontId="5" fillId="0" borderId="2" xfId="0" applyNumberFormat="1" applyFont="1" applyBorder="1" applyAlignment="1" applyProtection="1">
      <alignment horizontal="center"/>
      <protection locked="0"/>
    </xf>
    <xf numFmtId="166" fontId="5" fillId="0" borderId="2" xfId="0" applyNumberFormat="1" applyFont="1" applyBorder="1" applyAlignment="1" applyProtection="1">
      <alignment horizontal="center"/>
      <protection locked="0"/>
    </xf>
    <xf numFmtId="9" fontId="0" fillId="0" borderId="0" xfId="3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hidden="1"/>
    </xf>
    <xf numFmtId="0" fontId="5" fillId="3" borderId="0" xfId="0" applyFont="1" applyFill="1" applyProtection="1">
      <protection hidden="1"/>
    </xf>
    <xf numFmtId="0" fontId="5" fillId="0" borderId="1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Protection="1">
      <protection hidden="1"/>
    </xf>
    <xf numFmtId="44" fontId="5" fillId="0" borderId="0" xfId="2" applyFont="1" applyBorder="1" applyAlignment="1" applyProtection="1">
      <alignment horizontal="center"/>
      <protection hidden="1"/>
    </xf>
    <xf numFmtId="44" fontId="5" fillId="3" borderId="0" xfId="2" applyFont="1" applyFill="1" applyProtection="1">
      <protection hidden="1"/>
    </xf>
    <xf numFmtId="44" fontId="3" fillId="3" borderId="0" xfId="2" applyFont="1" applyFill="1" applyProtection="1">
      <protection hidden="1"/>
    </xf>
    <xf numFmtId="0" fontId="3" fillId="3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9" fontId="5" fillId="0" borderId="1" xfId="0" applyNumberFormat="1" applyFont="1" applyBorder="1" applyAlignment="1" applyProtection="1">
      <alignment horizontal="center"/>
      <protection hidden="1"/>
    </xf>
    <xf numFmtId="44" fontId="5" fillId="0" borderId="2" xfId="2" applyFont="1" applyBorder="1" applyProtection="1">
      <protection hidden="1"/>
    </xf>
    <xf numFmtId="164" fontId="5" fillId="2" borderId="0" xfId="0" applyNumberFormat="1" applyFont="1" applyFill="1" applyProtection="1">
      <protection hidden="1"/>
    </xf>
    <xf numFmtId="9" fontId="5" fillId="0" borderId="0" xfId="0" applyNumberFormat="1" applyFont="1" applyAlignment="1" applyProtection="1">
      <alignment horizontal="center"/>
      <protection hidden="1"/>
    </xf>
    <xf numFmtId="44" fontId="3" fillId="0" borderId="1" xfId="2" applyFont="1" applyBorder="1" applyAlignment="1" applyProtection="1">
      <alignment horizontal="center"/>
      <protection hidden="1"/>
    </xf>
    <xf numFmtId="44" fontId="3" fillId="0" borderId="2" xfId="2" applyFont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164" fontId="5" fillId="0" borderId="1" xfId="0" applyNumberFormat="1" applyFont="1" applyBorder="1" applyProtection="1">
      <protection hidden="1"/>
    </xf>
    <xf numFmtId="164" fontId="5" fillId="0" borderId="2" xfId="0" applyNumberFormat="1" applyFont="1" applyBorder="1" applyProtection="1">
      <protection hidden="1"/>
    </xf>
    <xf numFmtId="0" fontId="6" fillId="4" borderId="2" xfId="0" applyFont="1" applyFill="1" applyBorder="1" applyProtection="1">
      <protection hidden="1"/>
    </xf>
    <xf numFmtId="164" fontId="6" fillId="4" borderId="2" xfId="0" applyNumberFormat="1" applyFont="1" applyFill="1" applyBorder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44" fontId="5" fillId="0" borderId="2" xfId="0" applyNumberFormat="1" applyFont="1" applyBorder="1" applyProtection="1">
      <protection hidden="1"/>
    </xf>
    <xf numFmtId="44" fontId="3" fillId="0" borderId="0" xfId="2" applyFont="1" applyProtection="1">
      <protection hidden="1"/>
    </xf>
    <xf numFmtId="9" fontId="6" fillId="4" borderId="0" xfId="3" applyFont="1" applyFill="1" applyBorder="1" applyAlignment="1" applyProtection="1">
      <alignment horizontal="center"/>
      <protection hidden="1"/>
    </xf>
    <xf numFmtId="166" fontId="3" fillId="3" borderId="0" xfId="3" applyNumberFormat="1" applyFont="1" applyFill="1" applyBorder="1" applyAlignment="1" applyProtection="1">
      <alignment horizontal="center"/>
      <protection hidden="1"/>
    </xf>
    <xf numFmtId="44" fontId="3" fillId="3" borderId="0" xfId="0" applyNumberFormat="1" applyFont="1" applyFill="1" applyProtection="1">
      <protection hidden="1"/>
    </xf>
    <xf numFmtId="44" fontId="5" fillId="0" borderId="1" xfId="0" applyNumberFormat="1" applyFont="1" applyBorder="1" applyProtection="1">
      <protection hidden="1"/>
    </xf>
    <xf numFmtId="9" fontId="5" fillId="0" borderId="1" xfId="3" applyFont="1" applyBorder="1" applyAlignment="1" applyProtection="1">
      <alignment horizontal="center"/>
      <protection hidden="1"/>
    </xf>
    <xf numFmtId="0" fontId="4" fillId="0" borderId="2" xfId="0" applyFont="1" applyBorder="1" applyProtection="1">
      <protection hidden="1"/>
    </xf>
    <xf numFmtId="167" fontId="4" fillId="0" borderId="2" xfId="1" applyNumberFormat="1" applyFont="1" applyBorder="1" applyProtection="1">
      <protection hidden="1"/>
    </xf>
    <xf numFmtId="44" fontId="6" fillId="4" borderId="0" xfId="2" applyFont="1" applyFill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9" fontId="5" fillId="0" borderId="2" xfId="0" applyNumberFormat="1" applyFont="1" applyBorder="1" applyAlignment="1" applyProtection="1">
      <alignment horizontal="center"/>
      <protection hidden="1"/>
    </xf>
    <xf numFmtId="166" fontId="5" fillId="0" borderId="2" xfId="0" applyNumberFormat="1" applyFont="1" applyBorder="1" applyAlignment="1" applyProtection="1">
      <alignment horizontal="center"/>
      <protection hidden="1"/>
    </xf>
    <xf numFmtId="43" fontId="4" fillId="0" borderId="0" xfId="1" applyFont="1" applyAlignment="1" applyProtection="1">
      <alignment horizontal="left"/>
      <protection hidden="1"/>
    </xf>
    <xf numFmtId="9" fontId="5" fillId="3" borderId="1" xfId="0" applyNumberFormat="1" applyFont="1" applyFill="1" applyBorder="1" applyProtection="1">
      <protection hidden="1"/>
    </xf>
    <xf numFmtId="165" fontId="5" fillId="3" borderId="2" xfId="2" applyNumberFormat="1" applyFont="1" applyFill="1" applyBorder="1" applyProtection="1">
      <protection hidden="1"/>
    </xf>
    <xf numFmtId="44" fontId="6" fillId="5" borderId="0" xfId="2" applyFont="1" applyFill="1" applyProtection="1">
      <protection locked="0"/>
    </xf>
    <xf numFmtId="43" fontId="7" fillId="6" borderId="1" xfId="1" applyFont="1" applyFill="1" applyBorder="1" applyAlignment="1" applyProtection="1">
      <alignment horizontal="right"/>
      <protection locked="0"/>
    </xf>
    <xf numFmtId="44" fontId="8" fillId="6" borderId="2" xfId="2" applyFont="1" applyFill="1" applyBorder="1" applyAlignment="1" applyProtection="1">
      <protection locked="0"/>
    </xf>
    <xf numFmtId="10" fontId="7" fillId="6" borderId="1" xfId="0" applyNumberFormat="1" applyFont="1" applyFill="1" applyBorder="1" applyAlignment="1" applyProtection="1">
      <alignment horizontal="center"/>
      <protection locked="0"/>
    </xf>
    <xf numFmtId="9" fontId="7" fillId="6" borderId="2" xfId="0" applyNumberFormat="1" applyFont="1" applyFill="1" applyBorder="1" applyAlignment="1" applyProtection="1">
      <alignment horizontal="center"/>
      <protection locked="0"/>
    </xf>
    <xf numFmtId="44" fontId="6" fillId="0" borderId="0" xfId="2" applyFont="1" applyFill="1" applyProtection="1">
      <protection locked="0"/>
    </xf>
    <xf numFmtId="0" fontId="9" fillId="3" borderId="0" xfId="0" applyFont="1" applyFill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168" fontId="5" fillId="0" borderId="2" xfId="0" applyNumberFormat="1" applyFont="1" applyBorder="1" applyAlignment="1" applyProtection="1">
      <alignment horizontal="center"/>
      <protection hidden="1"/>
    </xf>
    <xf numFmtId="168" fontId="5" fillId="0" borderId="2" xfId="0" applyNumberFormat="1" applyFont="1" applyBorder="1" applyAlignment="1" applyProtection="1">
      <alignment horizontal="center"/>
      <protection locked="0"/>
    </xf>
    <xf numFmtId="2" fontId="5" fillId="0" borderId="0" xfId="2" applyNumberFormat="1" applyFont="1" applyBorder="1" applyAlignment="1" applyProtection="1">
      <alignment horizontal="center"/>
      <protection hidden="1"/>
    </xf>
    <xf numFmtId="168" fontId="5" fillId="0" borderId="0" xfId="0" applyNumberFormat="1" applyFont="1" applyAlignment="1" applyProtection="1">
      <alignment horizontal="center"/>
      <protection hidden="1"/>
    </xf>
    <xf numFmtId="10" fontId="7" fillId="6" borderId="0" xfId="0" applyNumberFormat="1" applyFont="1" applyFill="1" applyAlignment="1" applyProtection="1">
      <alignment horizontal="center"/>
      <protection locked="0"/>
    </xf>
    <xf numFmtId="169" fontId="5" fillId="0" borderId="0" xfId="2" applyNumberFormat="1" applyFont="1" applyBorder="1" applyAlignment="1" applyProtection="1">
      <alignment horizontal="center"/>
      <protection hidden="1"/>
    </xf>
    <xf numFmtId="1" fontId="5" fillId="0" borderId="0" xfId="2" applyNumberFormat="1" applyFont="1" applyBorder="1" applyAlignment="1" applyProtection="1">
      <alignment horizontal="center"/>
      <protection hidden="1"/>
    </xf>
    <xf numFmtId="9" fontId="5" fillId="0" borderId="2" xfId="3" applyFont="1" applyBorder="1" applyAlignment="1" applyProtection="1">
      <alignment horizontal="center"/>
      <protection hidden="1"/>
    </xf>
    <xf numFmtId="9" fontId="5" fillId="0" borderId="2" xfId="3" applyFont="1" applyBorder="1" applyAlignment="1" applyProtection="1">
      <alignment horizontal="center"/>
      <protection locked="0"/>
    </xf>
    <xf numFmtId="1" fontId="7" fillId="6" borderId="0" xfId="0" applyNumberFormat="1" applyFont="1" applyFill="1" applyAlignment="1" applyProtection="1">
      <alignment horizontal="center"/>
      <protection locked="0"/>
    </xf>
    <xf numFmtId="168" fontId="5" fillId="3" borderId="0" xfId="2" applyNumberFormat="1" applyFont="1" applyFill="1" applyProtection="1">
      <protection hidden="1"/>
    </xf>
    <xf numFmtId="9" fontId="6" fillId="4" borderId="0" xfId="3" applyFont="1" applyFill="1" applyAlignment="1" applyProtection="1">
      <alignment horizontal="center" vertical="center"/>
      <protection hidden="1"/>
    </xf>
    <xf numFmtId="44" fontId="8" fillId="0" borderId="0" xfId="2" applyFont="1" applyFill="1" applyAlignment="1" applyProtection="1">
      <alignment horizontal="center" vertical="center"/>
      <protection hidden="1"/>
    </xf>
    <xf numFmtId="44" fontId="8" fillId="0" borderId="0" xfId="2" applyFont="1" applyFill="1" applyProtection="1">
      <protection locked="0"/>
    </xf>
    <xf numFmtId="0" fontId="0" fillId="0" borderId="4" xfId="0" applyBorder="1" applyAlignment="1" applyProtection="1">
      <alignment horizontal="center" vertical="center"/>
      <protection hidden="1"/>
    </xf>
    <xf numFmtId="0" fontId="0" fillId="7" borderId="3" xfId="0" applyFill="1" applyBorder="1" applyAlignment="1" applyProtection="1">
      <alignment horizontal="center" vertical="center"/>
      <protection locked="0"/>
    </xf>
    <xf numFmtId="44" fontId="0" fillId="7" borderId="3" xfId="2" applyFont="1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horizontal="center" vertical="center"/>
      <protection locked="0"/>
    </xf>
    <xf numFmtId="44" fontId="0" fillId="8" borderId="3" xfId="2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4" fontId="0" fillId="0" borderId="3" xfId="0" applyNumberFormat="1" applyBorder="1" applyAlignment="1" applyProtection="1">
      <alignment horizontal="center" vertical="center"/>
      <protection locked="0"/>
    </xf>
    <xf numFmtId="9" fontId="8" fillId="0" borderId="1" xfId="0" applyNumberFormat="1" applyFont="1" applyBorder="1" applyAlignment="1" applyProtection="1">
      <alignment horizontal="center"/>
      <protection hidden="1"/>
    </xf>
    <xf numFmtId="164" fontId="8" fillId="0" borderId="0" xfId="0" applyNumberFormat="1" applyFont="1" applyProtection="1">
      <protection hidden="1"/>
    </xf>
    <xf numFmtId="44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9" fontId="5" fillId="0" borderId="1" xfId="3" applyFont="1" applyFill="1" applyBorder="1" applyAlignment="1" applyProtection="1">
      <alignment horizontal="center" vertical="center"/>
      <protection hidden="1"/>
    </xf>
    <xf numFmtId="0" fontId="5" fillId="10" borderId="2" xfId="0" applyFont="1" applyFill="1" applyBorder="1" applyProtection="1">
      <protection hidden="1"/>
    </xf>
    <xf numFmtId="44" fontId="5" fillId="10" borderId="1" xfId="0" applyNumberFormat="1" applyFont="1" applyFill="1" applyBorder="1" applyProtection="1">
      <protection hidden="1"/>
    </xf>
    <xf numFmtId="44" fontId="5" fillId="9" borderId="2" xfId="0" applyNumberFormat="1" applyFont="1" applyFill="1" applyBorder="1" applyProtection="1">
      <protection hidden="1"/>
    </xf>
    <xf numFmtId="0" fontId="5" fillId="9" borderId="2" xfId="0" applyFont="1" applyFill="1" applyBorder="1" applyProtection="1">
      <protection hidden="1"/>
    </xf>
    <xf numFmtId="44" fontId="3" fillId="9" borderId="2" xfId="0" applyNumberFormat="1" applyFont="1" applyFill="1" applyBorder="1" applyProtection="1">
      <protection hidden="1"/>
    </xf>
    <xf numFmtId="168" fontId="11" fillId="0" borderId="1" xfId="2" applyNumberFormat="1" applyFont="1" applyBorder="1" applyAlignment="1" applyProtection="1">
      <alignment horizontal="center"/>
      <protection hidden="1"/>
    </xf>
    <xf numFmtId="0" fontId="11" fillId="0" borderId="1" xfId="0" applyFont="1" applyBorder="1" applyProtection="1">
      <protection hidden="1"/>
    </xf>
    <xf numFmtId="9" fontId="5" fillId="0" borderId="0" xfId="3" applyFont="1" applyFill="1" applyBorder="1" applyAlignment="1" applyProtection="1">
      <alignment horizontal="center" vertical="center"/>
      <protection hidden="1"/>
    </xf>
    <xf numFmtId="9" fontId="8" fillId="11" borderId="1" xfId="0" applyNumberFormat="1" applyFont="1" applyFill="1" applyBorder="1" applyAlignment="1" applyProtection="1">
      <alignment horizontal="center"/>
      <protection hidden="1"/>
    </xf>
    <xf numFmtId="168" fontId="5" fillId="0" borderId="0" xfId="3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44" fontId="0" fillId="0" borderId="0" xfId="0" applyNumberFormat="1" applyAlignment="1" applyProtection="1">
      <alignment horizontal="center" vertical="center"/>
      <protection locked="0"/>
    </xf>
    <xf numFmtId="168" fontId="3" fillId="11" borderId="2" xfId="0" applyNumberFormat="1" applyFont="1" applyFill="1" applyBorder="1" applyAlignment="1" applyProtection="1">
      <alignment horizontal="center"/>
      <protection hidden="1"/>
    </xf>
    <xf numFmtId="168" fontId="3" fillId="11" borderId="2" xfId="0" applyNumberFormat="1" applyFont="1" applyFill="1" applyBorder="1" applyAlignment="1" applyProtection="1">
      <alignment horizontal="center"/>
      <protection locked="0"/>
    </xf>
    <xf numFmtId="44" fontId="7" fillId="11" borderId="0" xfId="2" applyFont="1" applyFill="1" applyProtection="1">
      <protection locked="0"/>
    </xf>
    <xf numFmtId="9" fontId="7" fillId="11" borderId="1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right"/>
      <protection locked="0"/>
    </xf>
    <xf numFmtId="0" fontId="5" fillId="11" borderId="2" xfId="0" applyFont="1" applyFill="1" applyBorder="1" applyProtection="1">
      <protection hidden="1"/>
    </xf>
    <xf numFmtId="44" fontId="5" fillId="11" borderId="1" xfId="0" applyNumberFormat="1" applyFont="1" applyFill="1" applyBorder="1" applyProtection="1">
      <protection hidden="1"/>
    </xf>
    <xf numFmtId="0" fontId="5" fillId="0" borderId="0" xfId="0" applyFont="1" applyAlignment="1" applyProtection="1">
      <alignment horizontal="right"/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44" fontId="5" fillId="0" borderId="0" xfId="2" applyFont="1" applyBorder="1" applyAlignment="1" applyProtection="1">
      <alignment horizontal="center"/>
      <protection locked="0"/>
    </xf>
    <xf numFmtId="9" fontId="5" fillId="6" borderId="2" xfId="3" applyFont="1" applyFill="1" applyBorder="1" applyAlignment="1" applyProtection="1">
      <alignment horizontal="center"/>
      <protection locked="0"/>
    </xf>
    <xf numFmtId="2" fontId="5" fillId="0" borderId="0" xfId="2" applyNumberFormat="1" applyFont="1" applyBorder="1" applyAlignment="1" applyProtection="1">
      <alignment horizontal="center"/>
      <protection locked="0"/>
    </xf>
    <xf numFmtId="169" fontId="5" fillId="0" borderId="0" xfId="2" applyNumberFormat="1" applyFont="1" applyBorder="1" applyAlignment="1" applyProtection="1">
      <alignment horizontal="center"/>
      <protection locked="0"/>
    </xf>
    <xf numFmtId="168" fontId="5" fillId="0" borderId="0" xfId="0" applyNumberFormat="1" applyFont="1" applyAlignment="1" applyProtection="1">
      <alignment horizontal="center"/>
      <protection locked="0"/>
    </xf>
    <xf numFmtId="168" fontId="11" fillId="6" borderId="1" xfId="2" applyNumberFormat="1" applyFont="1" applyFill="1" applyBorder="1" applyAlignment="1" applyProtection="1">
      <alignment horizontal="center"/>
      <protection locked="0"/>
    </xf>
    <xf numFmtId="9" fontId="5" fillId="0" borderId="0" xfId="3" applyFont="1" applyFill="1" applyBorder="1" applyAlignment="1" applyProtection="1">
      <alignment horizontal="center" vertical="center"/>
      <protection locked="0"/>
    </xf>
    <xf numFmtId="168" fontId="5" fillId="0" borderId="0" xfId="3" applyNumberFormat="1" applyFont="1" applyFill="1" applyBorder="1" applyAlignment="1" applyProtection="1">
      <alignment horizontal="center" vertical="center"/>
      <protection locked="0"/>
    </xf>
    <xf numFmtId="44" fontId="8" fillId="0" borderId="0" xfId="2" applyFont="1" applyFill="1" applyProtection="1">
      <protection hidden="1"/>
    </xf>
    <xf numFmtId="44" fontId="7" fillId="11" borderId="0" xfId="2" applyFont="1" applyFill="1" applyProtection="1">
      <protection hidden="1"/>
    </xf>
    <xf numFmtId="0" fontId="0" fillId="0" borderId="1" xfId="0" applyBorder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68" fontId="5" fillId="0" borderId="0" xfId="0" applyNumberFormat="1" applyFont="1" applyAlignment="1" applyProtection="1">
      <alignment horizontal="center" vertical="center"/>
      <protection hidden="1"/>
    </xf>
    <xf numFmtId="168" fontId="5" fillId="3" borderId="0" xfId="2" applyNumberFormat="1" applyFont="1" applyFill="1" applyAlignment="1" applyProtection="1">
      <alignment horizontal="center" vertical="center"/>
      <protection hidden="1"/>
    </xf>
    <xf numFmtId="14" fontId="5" fillId="0" borderId="0" xfId="3" applyNumberFormat="1" applyFont="1" applyFill="1" applyBorder="1" applyAlignment="1" applyProtection="1">
      <alignment horizontal="center" vertical="center"/>
      <protection locked="0"/>
    </xf>
    <xf numFmtId="170" fontId="13" fillId="12" borderId="0" xfId="3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168" fontId="8" fillId="6" borderId="2" xfId="2" applyNumberFormat="1" applyFont="1" applyFill="1" applyBorder="1" applyAlignment="1" applyProtection="1">
      <alignment horizontal="center" vertical="center"/>
      <protection locked="0"/>
    </xf>
    <xf numFmtId="44" fontId="10" fillId="4" borderId="0" xfId="2" applyFont="1" applyFill="1" applyAlignment="1" applyProtection="1">
      <alignment horizontal="center" vertical="center"/>
      <protection hidden="1"/>
    </xf>
    <xf numFmtId="0" fontId="7" fillId="6" borderId="1" xfId="1" applyNumberFormat="1" applyFont="1" applyFill="1" applyBorder="1" applyAlignment="1" applyProtection="1">
      <alignment horizontal="center" vertical="center"/>
      <protection locked="0"/>
    </xf>
    <xf numFmtId="168" fontId="8" fillId="6" borderId="1" xfId="2" applyNumberFormat="1" applyFont="1" applyFill="1" applyBorder="1" applyAlignment="1" applyProtection="1">
      <alignment horizontal="center" vertical="center"/>
      <protection locked="0"/>
    </xf>
    <xf numFmtId="9" fontId="8" fillId="6" borderId="2" xfId="3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/>
      <protection locked="0"/>
    </xf>
    <xf numFmtId="44" fontId="10" fillId="4" borderId="0" xfId="2" applyFont="1" applyFill="1" applyAlignment="1" applyProtection="1">
      <alignment horizontal="center" vertical="center"/>
      <protection locked="0"/>
    </xf>
    <xf numFmtId="166" fontId="8" fillId="6" borderId="1" xfId="3" applyNumberFormat="1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D2D6E0"/>
      <color rgb="FFB5E6A2"/>
      <color rgb="FFFFFF99"/>
      <color rgb="FFC0D4F1"/>
      <color rgb="FFD0D4E2"/>
      <color rgb="FF002856"/>
      <color rgb="FF0027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32</xdr:row>
      <xdr:rowOff>105430</xdr:rowOff>
    </xdr:from>
    <xdr:to>
      <xdr:col>12</xdr:col>
      <xdr:colOff>3636</xdr:colOff>
      <xdr:row>33</xdr:row>
      <xdr:rowOff>9525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A89C9D8A-C4BC-87CB-9BDB-E452714EC9AE}"/>
            </a:ext>
          </a:extLst>
        </xdr:cNvPr>
        <xdr:cNvSpPr/>
      </xdr:nvSpPr>
      <xdr:spPr>
        <a:xfrm>
          <a:off x="9526" y="5995379"/>
          <a:ext cx="8061202" cy="98483"/>
        </a:xfrm>
        <a:prstGeom prst="rect">
          <a:avLst/>
        </a:prstGeom>
        <a:solidFill>
          <a:srgbClr val="00275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51259</xdr:colOff>
      <xdr:row>28</xdr:row>
      <xdr:rowOff>15415</xdr:rowOff>
    </xdr:from>
    <xdr:to>
      <xdr:col>12</xdr:col>
      <xdr:colOff>4797</xdr:colOff>
      <xdr:row>32</xdr:row>
      <xdr:rowOff>174504</xdr:rowOff>
    </xdr:to>
    <xdr:sp macro="" textlink="">
      <xdr:nvSpPr>
        <xdr:cNvPr id="7" name="Triángulo isósceles 6">
          <a:extLst>
            <a:ext uri="{FF2B5EF4-FFF2-40B4-BE49-F238E27FC236}">
              <a16:creationId xmlns:a16="http://schemas.microsoft.com/office/drawing/2014/main" id="{25130D8D-DB5F-A37F-6394-DB970C622E52}"/>
            </a:ext>
          </a:extLst>
        </xdr:cNvPr>
        <xdr:cNvSpPr/>
      </xdr:nvSpPr>
      <xdr:spPr>
        <a:xfrm>
          <a:off x="7301922" y="5215287"/>
          <a:ext cx="769967" cy="849166"/>
        </a:xfrm>
        <a:prstGeom prst="triangle">
          <a:avLst>
            <a:gd name="adj" fmla="val 100000"/>
          </a:avLst>
        </a:prstGeom>
        <a:solidFill>
          <a:srgbClr val="00275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11</xdr:col>
      <xdr:colOff>433473</xdr:colOff>
      <xdr:row>30</xdr:row>
      <xdr:rowOff>181840</xdr:rowOff>
    </xdr:from>
    <xdr:to>
      <xdr:col>11</xdr:col>
      <xdr:colOff>745548</xdr:colOff>
      <xdr:row>32</xdr:row>
      <xdr:rowOff>73170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92B7361-203E-9046-0AF4-9BD33EC51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4136" y="5644136"/>
          <a:ext cx="312075" cy="318982"/>
        </a:xfrm>
        <a:prstGeom prst="rect">
          <a:avLst/>
        </a:prstGeom>
      </xdr:spPr>
    </xdr:pic>
    <xdr:clientData/>
  </xdr:twoCellAnchor>
  <xdr:twoCellAnchor>
    <xdr:from>
      <xdr:col>2</xdr:col>
      <xdr:colOff>11430</xdr:colOff>
      <xdr:row>0</xdr:row>
      <xdr:rowOff>137387</xdr:rowOff>
    </xdr:from>
    <xdr:to>
      <xdr:col>12</xdr:col>
      <xdr:colOff>2819</xdr:colOff>
      <xdr:row>1</xdr:row>
      <xdr:rowOff>41482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163C6AD-9BA1-4AFF-AE1C-78156CE7426B}"/>
            </a:ext>
          </a:extLst>
        </xdr:cNvPr>
        <xdr:cNvSpPr/>
      </xdr:nvSpPr>
      <xdr:spPr>
        <a:xfrm rot="10800000">
          <a:off x="326488" y="137387"/>
          <a:ext cx="9252619" cy="197172"/>
        </a:xfrm>
        <a:prstGeom prst="rect">
          <a:avLst/>
        </a:prstGeom>
        <a:solidFill>
          <a:srgbClr val="00275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9719</xdr:colOff>
      <xdr:row>1</xdr:row>
      <xdr:rowOff>2584</xdr:rowOff>
    </xdr:from>
    <xdr:to>
      <xdr:col>3</xdr:col>
      <xdr:colOff>1447800</xdr:colOff>
      <xdr:row>4</xdr:row>
      <xdr:rowOff>133349</xdr:rowOff>
    </xdr:to>
    <xdr:sp macro="" textlink="">
      <xdr:nvSpPr>
        <xdr:cNvPr id="11" name="Triángulo isósceles 10">
          <a:extLst>
            <a:ext uri="{FF2B5EF4-FFF2-40B4-BE49-F238E27FC236}">
              <a16:creationId xmlns:a16="http://schemas.microsoft.com/office/drawing/2014/main" id="{B7C619DC-3C97-4F78-9C89-442EF12C4983}"/>
            </a:ext>
          </a:extLst>
        </xdr:cNvPr>
        <xdr:cNvSpPr/>
      </xdr:nvSpPr>
      <xdr:spPr>
        <a:xfrm rot="10800000">
          <a:off x="9719" y="193084"/>
          <a:ext cx="1847656" cy="854665"/>
        </a:xfrm>
        <a:prstGeom prst="triangle">
          <a:avLst>
            <a:gd name="adj" fmla="val 100000"/>
          </a:avLst>
        </a:prstGeom>
        <a:solidFill>
          <a:srgbClr val="00275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</xdr:col>
      <xdr:colOff>104776</xdr:colOff>
      <xdr:row>1</xdr:row>
      <xdr:rowOff>85725</xdr:rowOff>
    </xdr:from>
    <xdr:to>
      <xdr:col>3</xdr:col>
      <xdr:colOff>533400</xdr:colOff>
      <xdr:row>2</xdr:row>
      <xdr:rowOff>96660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5C69039-4E9B-3105-8566-92FCFCABA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276225"/>
          <a:ext cx="838199" cy="274704"/>
        </a:xfrm>
        <a:prstGeom prst="rect">
          <a:avLst/>
        </a:prstGeom>
      </xdr:spPr>
    </xdr:pic>
    <xdr:clientData/>
  </xdr:twoCellAnchor>
  <xdr:twoCellAnchor>
    <xdr:from>
      <xdr:col>9</xdr:col>
      <xdr:colOff>578825</xdr:colOff>
      <xdr:row>8</xdr:row>
      <xdr:rowOff>0</xdr:rowOff>
    </xdr:from>
    <xdr:to>
      <xdr:col>12</xdr:col>
      <xdr:colOff>58615</xdr:colOff>
      <xdr:row>13</xdr:row>
      <xdr:rowOff>98845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6228E392-D330-A74B-492A-A4A9AA94DA84}"/>
            </a:ext>
          </a:extLst>
        </xdr:cNvPr>
        <xdr:cNvSpPr/>
      </xdr:nvSpPr>
      <xdr:spPr>
        <a:xfrm>
          <a:off x="7309226" y="2542995"/>
          <a:ext cx="2876441" cy="943515"/>
        </a:xfrm>
        <a:prstGeom prst="roundRect">
          <a:avLst/>
        </a:prstGeom>
        <a:noFill/>
        <a:ln>
          <a:solidFill>
            <a:schemeClr val="accent6">
              <a:lumMod val="75000"/>
            </a:schemeClr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50599</xdr:colOff>
      <xdr:row>12</xdr:row>
      <xdr:rowOff>7326</xdr:rowOff>
    </xdr:from>
    <xdr:to>
      <xdr:col>9</xdr:col>
      <xdr:colOff>43272</xdr:colOff>
      <xdr:row>13</xdr:row>
      <xdr:rowOff>7327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5377A27E-97EA-E70A-622A-D3E563E55224}"/>
            </a:ext>
          </a:extLst>
        </xdr:cNvPr>
        <xdr:cNvSpPr/>
      </xdr:nvSpPr>
      <xdr:spPr>
        <a:xfrm>
          <a:off x="3537108" y="2739024"/>
          <a:ext cx="3236565" cy="224647"/>
        </a:xfrm>
        <a:prstGeom prst="roundRect">
          <a:avLst/>
        </a:prstGeom>
        <a:noFill/>
        <a:ln>
          <a:solidFill>
            <a:schemeClr val="accent6">
              <a:lumMod val="75000"/>
            </a:schemeClr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7327</xdr:colOff>
      <xdr:row>24</xdr:row>
      <xdr:rowOff>36635</xdr:rowOff>
    </xdr:from>
    <xdr:to>
      <xdr:col>9</xdr:col>
      <xdr:colOff>21980</xdr:colOff>
      <xdr:row>26</xdr:row>
      <xdr:rowOff>29308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2D38E995-30E6-6907-68D1-85FA7FC6E87A}"/>
            </a:ext>
          </a:extLst>
        </xdr:cNvPr>
        <xdr:cNvSpPr/>
      </xdr:nvSpPr>
      <xdr:spPr>
        <a:xfrm>
          <a:off x="3480289" y="4733193"/>
          <a:ext cx="3275133" cy="417634"/>
        </a:xfrm>
        <a:prstGeom prst="roundRect">
          <a:avLst/>
        </a:prstGeom>
        <a:noFill/>
        <a:ln>
          <a:solidFill>
            <a:schemeClr val="accent6">
              <a:lumMod val="75000"/>
            </a:schemeClr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9</xdr:col>
      <xdr:colOff>43272</xdr:colOff>
      <xdr:row>12</xdr:row>
      <xdr:rowOff>120894</xdr:rowOff>
    </xdr:from>
    <xdr:to>
      <xdr:col>9</xdr:col>
      <xdr:colOff>519520</xdr:colOff>
      <xdr:row>12</xdr:row>
      <xdr:rowOff>124557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2359EA32-1B5A-EFDA-6487-867D2C64BBCB}"/>
            </a:ext>
          </a:extLst>
        </xdr:cNvPr>
        <xdr:cNvCxnSpPr>
          <a:stCxn id="3" idx="3"/>
        </xdr:cNvCxnSpPr>
      </xdr:nvCxnSpPr>
      <xdr:spPr>
        <a:xfrm>
          <a:off x="6773673" y="2852592"/>
          <a:ext cx="476248" cy="3663"/>
        </a:xfrm>
        <a:prstGeom prst="straightConnector1">
          <a:avLst/>
        </a:prstGeom>
        <a:ln w="19050" cap="flat" cmpd="sng" algn="ctr">
          <a:solidFill>
            <a:schemeClr val="accent6">
              <a:lumMod val="75000"/>
            </a:schemeClr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8</xdr:col>
      <xdr:colOff>974480</xdr:colOff>
      <xdr:row>13</xdr:row>
      <xdr:rowOff>116816</xdr:rowOff>
    </xdr:from>
    <xdr:to>
      <xdr:col>10</xdr:col>
      <xdr:colOff>35943</xdr:colOff>
      <xdr:row>23</xdr:row>
      <xdr:rowOff>168519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8A15E1D4-CF4F-1150-FBB3-09E1E47967C1}"/>
            </a:ext>
          </a:extLst>
        </xdr:cNvPr>
        <xdr:cNvCxnSpPr/>
      </xdr:nvCxnSpPr>
      <xdr:spPr>
        <a:xfrm flipH="1">
          <a:off x="6707452" y="3073160"/>
          <a:ext cx="660944" cy="1498425"/>
        </a:xfrm>
        <a:prstGeom prst="straightConnector1">
          <a:avLst/>
        </a:prstGeom>
        <a:ln w="19050" cap="flat" cmpd="sng" algn="ctr">
          <a:solidFill>
            <a:schemeClr val="accent3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26</xdr:row>
      <xdr:rowOff>105430</xdr:rowOff>
    </xdr:from>
    <xdr:to>
      <xdr:col>13</xdr:col>
      <xdr:colOff>3636</xdr:colOff>
      <xdr:row>27</xdr:row>
      <xdr:rowOff>9525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B612D42-A847-EB49-9874-1B6056E4FAF5}"/>
            </a:ext>
          </a:extLst>
        </xdr:cNvPr>
        <xdr:cNvSpPr/>
      </xdr:nvSpPr>
      <xdr:spPr>
        <a:xfrm>
          <a:off x="123826" y="5414030"/>
          <a:ext cx="10331910" cy="94595"/>
        </a:xfrm>
        <a:prstGeom prst="rect">
          <a:avLst/>
        </a:prstGeom>
        <a:solidFill>
          <a:srgbClr val="00275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51259</xdr:colOff>
      <xdr:row>22</xdr:row>
      <xdr:rowOff>15415</xdr:rowOff>
    </xdr:from>
    <xdr:to>
      <xdr:col>13</xdr:col>
      <xdr:colOff>4797</xdr:colOff>
      <xdr:row>26</xdr:row>
      <xdr:rowOff>174504</xdr:rowOff>
    </xdr:to>
    <xdr:sp macro="" textlink="">
      <xdr:nvSpPr>
        <xdr:cNvPr id="3" name="Triángulo isósceles 2">
          <a:extLst>
            <a:ext uri="{FF2B5EF4-FFF2-40B4-BE49-F238E27FC236}">
              <a16:creationId xmlns:a16="http://schemas.microsoft.com/office/drawing/2014/main" id="{6EF91A18-2BE6-574D-A09C-74FBAF0D891F}"/>
            </a:ext>
          </a:extLst>
        </xdr:cNvPr>
        <xdr:cNvSpPr/>
      </xdr:nvSpPr>
      <xdr:spPr>
        <a:xfrm>
          <a:off x="8509459" y="4523915"/>
          <a:ext cx="1947438" cy="959189"/>
        </a:xfrm>
        <a:prstGeom prst="triangle">
          <a:avLst>
            <a:gd name="adj" fmla="val 100000"/>
          </a:avLst>
        </a:prstGeom>
        <a:solidFill>
          <a:srgbClr val="00275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11</xdr:col>
      <xdr:colOff>1359019</xdr:colOff>
      <xdr:row>24</xdr:row>
      <xdr:rowOff>82995</xdr:rowOff>
    </xdr:from>
    <xdr:to>
      <xdr:col>12</xdr:col>
      <xdr:colOff>335783</xdr:colOff>
      <xdr:row>26</xdr:row>
      <xdr:rowOff>1283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71B932-8950-634E-AECB-70A680654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7219" y="4997895"/>
          <a:ext cx="386463" cy="311988"/>
        </a:xfrm>
        <a:prstGeom prst="rect">
          <a:avLst/>
        </a:prstGeom>
      </xdr:spPr>
    </xdr:pic>
    <xdr:clientData/>
  </xdr:twoCellAnchor>
  <xdr:twoCellAnchor>
    <xdr:from>
      <xdr:col>2</xdr:col>
      <xdr:colOff>11430</xdr:colOff>
      <xdr:row>0</xdr:row>
      <xdr:rowOff>137387</xdr:rowOff>
    </xdr:from>
    <xdr:to>
      <xdr:col>13</xdr:col>
      <xdr:colOff>2819</xdr:colOff>
      <xdr:row>1</xdr:row>
      <xdr:rowOff>41482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3CB929D6-D932-E14C-A9F3-77A8D05AD3DE}"/>
            </a:ext>
          </a:extLst>
        </xdr:cNvPr>
        <xdr:cNvSpPr/>
      </xdr:nvSpPr>
      <xdr:spPr>
        <a:xfrm rot="10800000">
          <a:off x="125730" y="137387"/>
          <a:ext cx="10329189" cy="196195"/>
        </a:xfrm>
        <a:prstGeom prst="rect">
          <a:avLst/>
        </a:prstGeom>
        <a:solidFill>
          <a:srgbClr val="00275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9719</xdr:colOff>
      <xdr:row>1</xdr:row>
      <xdr:rowOff>2584</xdr:rowOff>
    </xdr:from>
    <xdr:to>
      <xdr:col>3</xdr:col>
      <xdr:colOff>1447800</xdr:colOff>
      <xdr:row>4</xdr:row>
      <xdr:rowOff>133349</xdr:rowOff>
    </xdr:to>
    <xdr:sp macro="" textlink="">
      <xdr:nvSpPr>
        <xdr:cNvPr id="6" name="Triángulo isósceles 5">
          <a:extLst>
            <a:ext uri="{FF2B5EF4-FFF2-40B4-BE49-F238E27FC236}">
              <a16:creationId xmlns:a16="http://schemas.microsoft.com/office/drawing/2014/main" id="{DF1618A8-5D07-F142-B1AE-A7EA71DF01CF}"/>
            </a:ext>
          </a:extLst>
        </xdr:cNvPr>
        <xdr:cNvSpPr/>
      </xdr:nvSpPr>
      <xdr:spPr>
        <a:xfrm rot="10800000">
          <a:off x="124019" y="294684"/>
          <a:ext cx="1907981" cy="930865"/>
        </a:xfrm>
        <a:prstGeom prst="triangle">
          <a:avLst>
            <a:gd name="adj" fmla="val 100000"/>
          </a:avLst>
        </a:prstGeom>
        <a:solidFill>
          <a:srgbClr val="00275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9</xdr:col>
      <xdr:colOff>494222</xdr:colOff>
      <xdr:row>9</xdr:row>
      <xdr:rowOff>80870</xdr:rowOff>
    </xdr:from>
    <xdr:to>
      <xdr:col>13</xdr:col>
      <xdr:colOff>161746</xdr:colOff>
      <xdr:row>21</xdr:row>
      <xdr:rowOff>134788</xdr:rowOff>
    </xdr:to>
    <xdr:sp macro="" textlink="">
      <xdr:nvSpPr>
        <xdr:cNvPr id="7" name="Rectángulo: esquinas redondeadas 7">
          <a:extLst>
            <a:ext uri="{FF2B5EF4-FFF2-40B4-BE49-F238E27FC236}">
              <a16:creationId xmlns:a16="http://schemas.microsoft.com/office/drawing/2014/main" id="{191510A7-6B5C-744D-ABF4-10F653F36A08}"/>
            </a:ext>
          </a:extLst>
        </xdr:cNvPr>
        <xdr:cNvSpPr/>
      </xdr:nvSpPr>
      <xdr:spPr>
        <a:xfrm>
          <a:off x="6844222" y="2252570"/>
          <a:ext cx="3769624" cy="2174818"/>
        </a:xfrm>
        <a:prstGeom prst="roundRect">
          <a:avLst/>
        </a:prstGeom>
        <a:noFill/>
        <a:ln>
          <a:solidFill>
            <a:schemeClr val="accent6">
              <a:lumMod val="75000"/>
            </a:schemeClr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3</xdr:col>
      <xdr:colOff>0</xdr:colOff>
      <xdr:row>43</xdr:row>
      <xdr:rowOff>1</xdr:rowOff>
    </xdr:from>
    <xdr:to>
      <xdr:col>10</xdr:col>
      <xdr:colOff>974649</xdr:colOff>
      <xdr:row>57</xdr:row>
      <xdr:rowOff>42792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0DF2EC2-9763-6749-B97A-73D0545C14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1295"/>
        <a:stretch>
          <a:fillRect/>
        </a:stretch>
      </xdr:blipFill>
      <xdr:spPr>
        <a:xfrm>
          <a:off x="584200" y="8547101"/>
          <a:ext cx="5139284" cy="270979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13</xdr:col>
      <xdr:colOff>78674</xdr:colOff>
      <xdr:row>57</xdr:row>
      <xdr:rowOff>134371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A1009CB-3C89-6A42-BA58-A754B88E3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0000" y="8547100"/>
          <a:ext cx="4180774" cy="28013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26</xdr:row>
      <xdr:rowOff>105430</xdr:rowOff>
    </xdr:from>
    <xdr:to>
      <xdr:col>13</xdr:col>
      <xdr:colOff>3636</xdr:colOff>
      <xdr:row>27</xdr:row>
      <xdr:rowOff>9525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5A155AF2-49C3-AA46-A3F8-15592082250E}"/>
            </a:ext>
          </a:extLst>
        </xdr:cNvPr>
        <xdr:cNvSpPr/>
      </xdr:nvSpPr>
      <xdr:spPr>
        <a:xfrm>
          <a:off x="123826" y="5414030"/>
          <a:ext cx="10331910" cy="94595"/>
        </a:xfrm>
        <a:prstGeom prst="rect">
          <a:avLst/>
        </a:prstGeom>
        <a:solidFill>
          <a:srgbClr val="00275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51259</xdr:colOff>
      <xdr:row>22</xdr:row>
      <xdr:rowOff>15415</xdr:rowOff>
    </xdr:from>
    <xdr:to>
      <xdr:col>13</xdr:col>
      <xdr:colOff>4797</xdr:colOff>
      <xdr:row>26</xdr:row>
      <xdr:rowOff>174504</xdr:rowOff>
    </xdr:to>
    <xdr:sp macro="" textlink="">
      <xdr:nvSpPr>
        <xdr:cNvPr id="3" name="Triángulo isósceles 2">
          <a:extLst>
            <a:ext uri="{FF2B5EF4-FFF2-40B4-BE49-F238E27FC236}">
              <a16:creationId xmlns:a16="http://schemas.microsoft.com/office/drawing/2014/main" id="{3039A543-79A1-D646-BEF6-036245569AEB}"/>
            </a:ext>
          </a:extLst>
        </xdr:cNvPr>
        <xdr:cNvSpPr/>
      </xdr:nvSpPr>
      <xdr:spPr>
        <a:xfrm>
          <a:off x="8509459" y="4523915"/>
          <a:ext cx="1947438" cy="959189"/>
        </a:xfrm>
        <a:prstGeom prst="triangle">
          <a:avLst>
            <a:gd name="adj" fmla="val 100000"/>
          </a:avLst>
        </a:prstGeom>
        <a:solidFill>
          <a:srgbClr val="00275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11</xdr:col>
      <xdr:colOff>1359019</xdr:colOff>
      <xdr:row>24</xdr:row>
      <xdr:rowOff>82995</xdr:rowOff>
    </xdr:from>
    <xdr:to>
      <xdr:col>12</xdr:col>
      <xdr:colOff>335783</xdr:colOff>
      <xdr:row>26</xdr:row>
      <xdr:rowOff>1283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3CF9DD-747C-2642-A485-EFF95AD1E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7219" y="4997895"/>
          <a:ext cx="386463" cy="311988"/>
        </a:xfrm>
        <a:prstGeom prst="rect">
          <a:avLst/>
        </a:prstGeom>
      </xdr:spPr>
    </xdr:pic>
    <xdr:clientData/>
  </xdr:twoCellAnchor>
  <xdr:twoCellAnchor>
    <xdr:from>
      <xdr:col>2</xdr:col>
      <xdr:colOff>11430</xdr:colOff>
      <xdr:row>0</xdr:row>
      <xdr:rowOff>137387</xdr:rowOff>
    </xdr:from>
    <xdr:to>
      <xdr:col>13</xdr:col>
      <xdr:colOff>2819</xdr:colOff>
      <xdr:row>1</xdr:row>
      <xdr:rowOff>41482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0A1B6CF-AF54-F244-9D0B-7B583E19550B}"/>
            </a:ext>
          </a:extLst>
        </xdr:cNvPr>
        <xdr:cNvSpPr/>
      </xdr:nvSpPr>
      <xdr:spPr>
        <a:xfrm rot="10800000">
          <a:off x="125730" y="137387"/>
          <a:ext cx="10329189" cy="196195"/>
        </a:xfrm>
        <a:prstGeom prst="rect">
          <a:avLst/>
        </a:prstGeom>
        <a:solidFill>
          <a:srgbClr val="00275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9719</xdr:colOff>
      <xdr:row>1</xdr:row>
      <xdr:rowOff>2584</xdr:rowOff>
    </xdr:from>
    <xdr:to>
      <xdr:col>3</xdr:col>
      <xdr:colOff>1447800</xdr:colOff>
      <xdr:row>4</xdr:row>
      <xdr:rowOff>133349</xdr:rowOff>
    </xdr:to>
    <xdr:sp macro="" textlink="">
      <xdr:nvSpPr>
        <xdr:cNvPr id="6" name="Triángulo isósceles 5">
          <a:extLst>
            <a:ext uri="{FF2B5EF4-FFF2-40B4-BE49-F238E27FC236}">
              <a16:creationId xmlns:a16="http://schemas.microsoft.com/office/drawing/2014/main" id="{0300FEBB-FEFC-E04E-8732-6BD2B00F5799}"/>
            </a:ext>
          </a:extLst>
        </xdr:cNvPr>
        <xdr:cNvSpPr/>
      </xdr:nvSpPr>
      <xdr:spPr>
        <a:xfrm rot="10800000">
          <a:off x="124019" y="294684"/>
          <a:ext cx="1907981" cy="930865"/>
        </a:xfrm>
        <a:prstGeom prst="triangle">
          <a:avLst>
            <a:gd name="adj" fmla="val 100000"/>
          </a:avLst>
        </a:prstGeom>
        <a:solidFill>
          <a:srgbClr val="00275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9</xdr:col>
      <xdr:colOff>494222</xdr:colOff>
      <xdr:row>9</xdr:row>
      <xdr:rowOff>80870</xdr:rowOff>
    </xdr:from>
    <xdr:to>
      <xdr:col>13</xdr:col>
      <xdr:colOff>161746</xdr:colOff>
      <xdr:row>21</xdr:row>
      <xdr:rowOff>134788</xdr:rowOff>
    </xdr:to>
    <xdr:sp macro="" textlink="">
      <xdr:nvSpPr>
        <xdr:cNvPr id="7" name="Rectángulo: esquinas redondeadas 7">
          <a:extLst>
            <a:ext uri="{FF2B5EF4-FFF2-40B4-BE49-F238E27FC236}">
              <a16:creationId xmlns:a16="http://schemas.microsoft.com/office/drawing/2014/main" id="{3A3BA6ED-AEC1-F947-8FB2-38C83F3C48AD}"/>
            </a:ext>
          </a:extLst>
        </xdr:cNvPr>
        <xdr:cNvSpPr/>
      </xdr:nvSpPr>
      <xdr:spPr>
        <a:xfrm>
          <a:off x="6844222" y="2252570"/>
          <a:ext cx="3769624" cy="2174818"/>
        </a:xfrm>
        <a:prstGeom prst="roundRect">
          <a:avLst/>
        </a:prstGeom>
        <a:noFill/>
        <a:ln>
          <a:solidFill>
            <a:schemeClr val="accent6">
              <a:lumMod val="75000"/>
            </a:schemeClr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3</xdr:col>
      <xdr:colOff>0</xdr:colOff>
      <xdr:row>43</xdr:row>
      <xdr:rowOff>1</xdr:rowOff>
    </xdr:from>
    <xdr:to>
      <xdr:col>8</xdr:col>
      <xdr:colOff>564712</xdr:colOff>
      <xdr:row>57</xdr:row>
      <xdr:rowOff>42792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46CA083-4198-7C4B-B564-ABB70AB02A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1295"/>
        <a:stretch>
          <a:fillRect/>
        </a:stretch>
      </xdr:blipFill>
      <xdr:spPr>
        <a:xfrm>
          <a:off x="584200" y="8547101"/>
          <a:ext cx="5139284" cy="270979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13</xdr:col>
      <xdr:colOff>78674</xdr:colOff>
      <xdr:row>57</xdr:row>
      <xdr:rowOff>134371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547F574-8081-514A-B847-53F089327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0000" y="8547100"/>
          <a:ext cx="4180774" cy="2801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26</xdr:row>
      <xdr:rowOff>105430</xdr:rowOff>
    </xdr:from>
    <xdr:to>
      <xdr:col>13</xdr:col>
      <xdr:colOff>3636</xdr:colOff>
      <xdr:row>27</xdr:row>
      <xdr:rowOff>9525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4E676FE-EC11-FE47-B734-52CFE4EB51D9}"/>
            </a:ext>
          </a:extLst>
        </xdr:cNvPr>
        <xdr:cNvSpPr/>
      </xdr:nvSpPr>
      <xdr:spPr>
        <a:xfrm>
          <a:off x="123826" y="5312430"/>
          <a:ext cx="8045910" cy="94595"/>
        </a:xfrm>
        <a:prstGeom prst="rect">
          <a:avLst/>
        </a:prstGeom>
        <a:solidFill>
          <a:srgbClr val="00275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51259</xdr:colOff>
      <xdr:row>22</xdr:row>
      <xdr:rowOff>15415</xdr:rowOff>
    </xdr:from>
    <xdr:to>
      <xdr:col>13</xdr:col>
      <xdr:colOff>4797</xdr:colOff>
      <xdr:row>26</xdr:row>
      <xdr:rowOff>174504</xdr:rowOff>
    </xdr:to>
    <xdr:sp macro="" textlink="">
      <xdr:nvSpPr>
        <xdr:cNvPr id="3" name="Triángulo isósceles 2">
          <a:extLst>
            <a:ext uri="{FF2B5EF4-FFF2-40B4-BE49-F238E27FC236}">
              <a16:creationId xmlns:a16="http://schemas.microsoft.com/office/drawing/2014/main" id="{557B567E-AB7B-2946-95A8-5B9F78A40305}"/>
            </a:ext>
          </a:extLst>
        </xdr:cNvPr>
        <xdr:cNvSpPr/>
      </xdr:nvSpPr>
      <xdr:spPr>
        <a:xfrm>
          <a:off x="6223459" y="4308015"/>
          <a:ext cx="1947438" cy="1073489"/>
        </a:xfrm>
        <a:prstGeom prst="triangle">
          <a:avLst>
            <a:gd name="adj" fmla="val 100000"/>
          </a:avLst>
        </a:prstGeom>
        <a:solidFill>
          <a:srgbClr val="00275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11</xdr:col>
      <xdr:colOff>1359019</xdr:colOff>
      <xdr:row>24</xdr:row>
      <xdr:rowOff>82995</xdr:rowOff>
    </xdr:from>
    <xdr:to>
      <xdr:col>12</xdr:col>
      <xdr:colOff>335782</xdr:colOff>
      <xdr:row>26</xdr:row>
      <xdr:rowOff>1283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9F55930-BE60-974A-A3F2-47C91272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1219" y="4896295"/>
          <a:ext cx="386464" cy="311987"/>
        </a:xfrm>
        <a:prstGeom prst="rect">
          <a:avLst/>
        </a:prstGeom>
      </xdr:spPr>
    </xdr:pic>
    <xdr:clientData/>
  </xdr:twoCellAnchor>
  <xdr:twoCellAnchor>
    <xdr:from>
      <xdr:col>2</xdr:col>
      <xdr:colOff>11430</xdr:colOff>
      <xdr:row>0</xdr:row>
      <xdr:rowOff>137387</xdr:rowOff>
    </xdr:from>
    <xdr:to>
      <xdr:col>13</xdr:col>
      <xdr:colOff>2819</xdr:colOff>
      <xdr:row>1</xdr:row>
      <xdr:rowOff>41482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401FCC1-C21A-AD49-AF68-FB795F141806}"/>
            </a:ext>
          </a:extLst>
        </xdr:cNvPr>
        <xdr:cNvSpPr/>
      </xdr:nvSpPr>
      <xdr:spPr>
        <a:xfrm rot="10800000">
          <a:off x="125730" y="137387"/>
          <a:ext cx="8043189" cy="196195"/>
        </a:xfrm>
        <a:prstGeom prst="rect">
          <a:avLst/>
        </a:prstGeom>
        <a:solidFill>
          <a:srgbClr val="00275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9719</xdr:colOff>
      <xdr:row>1</xdr:row>
      <xdr:rowOff>2584</xdr:rowOff>
    </xdr:from>
    <xdr:to>
      <xdr:col>3</xdr:col>
      <xdr:colOff>1447800</xdr:colOff>
      <xdr:row>4</xdr:row>
      <xdr:rowOff>133349</xdr:rowOff>
    </xdr:to>
    <xdr:sp macro="" textlink="">
      <xdr:nvSpPr>
        <xdr:cNvPr id="6" name="Triángulo isósceles 5">
          <a:extLst>
            <a:ext uri="{FF2B5EF4-FFF2-40B4-BE49-F238E27FC236}">
              <a16:creationId xmlns:a16="http://schemas.microsoft.com/office/drawing/2014/main" id="{90D5D987-1D60-634D-B2A9-1A3D3283D3DD}"/>
            </a:ext>
          </a:extLst>
        </xdr:cNvPr>
        <xdr:cNvSpPr/>
      </xdr:nvSpPr>
      <xdr:spPr>
        <a:xfrm rot="10800000">
          <a:off x="124019" y="294684"/>
          <a:ext cx="1907981" cy="930865"/>
        </a:xfrm>
        <a:prstGeom prst="triangle">
          <a:avLst>
            <a:gd name="adj" fmla="val 100000"/>
          </a:avLst>
        </a:prstGeom>
        <a:solidFill>
          <a:srgbClr val="00275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9</xdr:col>
      <xdr:colOff>494222</xdr:colOff>
      <xdr:row>9</xdr:row>
      <xdr:rowOff>80870</xdr:rowOff>
    </xdr:from>
    <xdr:to>
      <xdr:col>13</xdr:col>
      <xdr:colOff>161746</xdr:colOff>
      <xdr:row>21</xdr:row>
      <xdr:rowOff>134788</xdr:rowOff>
    </xdr:to>
    <xdr:sp macro="" textlink="">
      <xdr:nvSpPr>
        <xdr:cNvPr id="7" name="Rectángulo: esquinas redondeadas 7">
          <a:extLst>
            <a:ext uri="{FF2B5EF4-FFF2-40B4-BE49-F238E27FC236}">
              <a16:creationId xmlns:a16="http://schemas.microsoft.com/office/drawing/2014/main" id="{82BA9745-8D70-3940-9B4B-2E8BBAF41AA5}"/>
            </a:ext>
          </a:extLst>
        </xdr:cNvPr>
        <xdr:cNvSpPr/>
      </xdr:nvSpPr>
      <xdr:spPr>
        <a:xfrm>
          <a:off x="4558222" y="2036670"/>
          <a:ext cx="3769624" cy="2174818"/>
        </a:xfrm>
        <a:prstGeom prst="roundRect">
          <a:avLst/>
        </a:prstGeom>
        <a:noFill/>
        <a:ln>
          <a:solidFill>
            <a:schemeClr val="accent6">
              <a:lumMod val="75000"/>
            </a:schemeClr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3</xdr:col>
      <xdr:colOff>0</xdr:colOff>
      <xdr:row>43</xdr:row>
      <xdr:rowOff>1</xdr:rowOff>
    </xdr:from>
    <xdr:to>
      <xdr:col>8</xdr:col>
      <xdr:colOff>516484</xdr:colOff>
      <xdr:row>57</xdr:row>
      <xdr:rowOff>42792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E275AB6-61B4-0341-A56D-09F6E218FC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1295"/>
        <a:stretch>
          <a:fillRect/>
        </a:stretch>
      </xdr:blipFill>
      <xdr:spPr>
        <a:xfrm>
          <a:off x="584200" y="8445501"/>
          <a:ext cx="5140249" cy="270979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13</xdr:col>
      <xdr:colOff>78674</xdr:colOff>
      <xdr:row>57</xdr:row>
      <xdr:rowOff>134371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FED489C-FFC6-DF46-8F1E-91E8479E1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64000" y="8445500"/>
          <a:ext cx="4180774" cy="2801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2A9C-E14B-458F-83B3-83F8AADAD89B}">
  <dimension ref="D1:Q32"/>
  <sheetViews>
    <sheetView showGridLines="0" zoomScale="106" zoomScaleNormal="106" zoomScaleSheetLayoutView="160" workbookViewId="0">
      <selection activeCell="N9" sqref="N9"/>
    </sheetView>
  </sheetViews>
  <sheetFormatPr baseColWidth="10" defaultColWidth="11.42578125" defaultRowHeight="15" outlineLevelRow="1" outlineLevelCol="1" x14ac:dyDescent="0.25"/>
  <cols>
    <col min="1" max="1" width="11.42578125" style="1"/>
    <col min="2" max="2" width="1.42578125" style="1" customWidth="1"/>
    <col min="3" max="3" width="6.140625" style="1" customWidth="1"/>
    <col min="4" max="4" width="33" style="1" customWidth="1"/>
    <col min="5" max="5" width="15" style="1" customWidth="1" outlineLevel="1"/>
    <col min="6" max="6" width="1.7109375" style="1" customWidth="1"/>
    <col min="7" max="7" width="15" style="1" customWidth="1" outlineLevel="1"/>
    <col min="8" max="8" width="1.7109375" style="1" customWidth="1"/>
    <col min="9" max="9" width="15" style="1" bestFit="1" customWidth="1" outlineLevel="1"/>
    <col min="10" max="10" width="9" style="1" customWidth="1"/>
    <col min="11" max="11" width="27.7109375" style="1" customWidth="1"/>
    <col min="12" max="12" width="14.140625" style="1" customWidth="1"/>
    <col min="13" max="13" width="1.7109375" style="1" customWidth="1"/>
    <col min="14" max="16384" width="11.42578125" style="1"/>
  </cols>
  <sheetData>
    <row r="1" spans="4:17" ht="23.25" customHeight="1" x14ac:dyDescent="0.25"/>
    <row r="2" spans="4:17" s="8" customFormat="1" ht="21" customHeight="1" x14ac:dyDescent="0.25">
      <c r="K2" s="121" t="s">
        <v>44</v>
      </c>
      <c r="L2" s="121"/>
    </row>
    <row r="3" spans="4:17" s="8" customFormat="1" ht="27" customHeight="1" x14ac:dyDescent="0.3">
      <c r="D3" s="120" t="s">
        <v>36</v>
      </c>
      <c r="E3" s="120"/>
      <c r="F3" s="120"/>
      <c r="G3" s="120"/>
      <c r="H3" s="120"/>
      <c r="I3" s="120"/>
      <c r="J3" s="120"/>
      <c r="K3" s="120"/>
      <c r="L3" s="120"/>
      <c r="Q3" s="52"/>
    </row>
    <row r="5" spans="4:17" ht="16.899999999999999" customHeight="1" x14ac:dyDescent="0.25">
      <c r="D5" s="9" t="s">
        <v>0</v>
      </c>
      <c r="E5" s="40" t="s">
        <v>12</v>
      </c>
      <c r="F5" s="40"/>
      <c r="G5" s="40" t="s">
        <v>13</v>
      </c>
      <c r="H5" s="40"/>
      <c r="I5" s="40" t="s">
        <v>14</v>
      </c>
      <c r="J5" s="2"/>
      <c r="K5" s="10" t="s">
        <v>43</v>
      </c>
      <c r="L5" s="48">
        <v>300</v>
      </c>
    </row>
    <row r="6" spans="4:17" ht="16.899999999999999" customHeight="1" x14ac:dyDescent="0.25">
      <c r="D6" s="10" t="s">
        <v>11</v>
      </c>
      <c r="E6" s="41">
        <v>36</v>
      </c>
      <c r="F6" s="41"/>
      <c r="G6" s="41">
        <v>60</v>
      </c>
      <c r="H6" s="41"/>
      <c r="I6" s="41">
        <v>120</v>
      </c>
      <c r="J6" s="2"/>
      <c r="K6" s="11" t="s">
        <v>35</v>
      </c>
      <c r="L6" s="49">
        <v>13500</v>
      </c>
    </row>
    <row r="7" spans="4:17" ht="16.899999999999999" customHeight="1" x14ac:dyDescent="0.25">
      <c r="D7" s="11" t="s">
        <v>1</v>
      </c>
      <c r="E7" s="51">
        <v>0.15</v>
      </c>
      <c r="F7" s="51"/>
      <c r="G7" s="51">
        <v>0.1</v>
      </c>
      <c r="H7" s="51"/>
      <c r="I7" s="51">
        <v>0</v>
      </c>
      <c r="J7" s="2"/>
      <c r="K7" s="2"/>
      <c r="L7" s="2"/>
    </row>
    <row r="8" spans="4:17" ht="16.899999999999999" customHeight="1" x14ac:dyDescent="0.25">
      <c r="D8" s="11" t="s">
        <v>37</v>
      </c>
      <c r="E8" s="42">
        <v>0</v>
      </c>
      <c r="F8" s="3"/>
      <c r="G8" s="43">
        <v>5.3999999999999999E-2</v>
      </c>
      <c r="H8" s="4"/>
      <c r="I8" s="43">
        <v>0.107</v>
      </c>
      <c r="J8" s="2"/>
      <c r="K8" s="10" t="s">
        <v>16</v>
      </c>
      <c r="L8" s="50">
        <v>0.1595</v>
      </c>
    </row>
    <row r="9" spans="4:17" ht="16.899999999999999" customHeight="1" x14ac:dyDescent="0.25">
      <c r="D9" s="12" t="s">
        <v>40</v>
      </c>
      <c r="E9" s="13">
        <f>($L$6*(100%-E7))*E32</f>
        <v>12943.8</v>
      </c>
      <c r="F9" s="13"/>
      <c r="G9" s="13">
        <f>($L$6*(100%-G7))*G32</f>
        <v>13705.199999999999</v>
      </c>
      <c r="H9" s="13"/>
      <c r="I9" s="13">
        <f>($L$6*(100%-I7))*I32</f>
        <v>15227.999999999998</v>
      </c>
      <c r="J9" s="2"/>
      <c r="K9" s="12"/>
      <c r="L9" s="12"/>
    </row>
    <row r="10" spans="4:17" ht="16.899999999999999" customHeight="1" x14ac:dyDescent="0.25">
      <c r="D10" s="9" t="s">
        <v>41</v>
      </c>
      <c r="E10" s="14">
        <f>($L$5*$L$6)*E32</f>
        <v>4568400</v>
      </c>
      <c r="F10" s="14"/>
      <c r="G10" s="14">
        <f>($L$5*$L$6)*G32</f>
        <v>4568400</v>
      </c>
      <c r="H10" s="14"/>
      <c r="I10" s="14">
        <f>($L$5*$L$6)*I32</f>
        <v>4568400</v>
      </c>
      <c r="J10" s="2"/>
      <c r="K10" s="24" t="s">
        <v>15</v>
      </c>
      <c r="L10" s="12"/>
    </row>
    <row r="11" spans="4:17" ht="16.899999999999999" customHeight="1" x14ac:dyDescent="0.25">
      <c r="D11" s="12" t="s">
        <v>2</v>
      </c>
      <c r="E11" s="39">
        <f>E7*E10</f>
        <v>685260</v>
      </c>
      <c r="F11" s="39"/>
      <c r="G11" s="39">
        <f>G7*G10</f>
        <v>456840</v>
      </c>
      <c r="H11" s="39"/>
      <c r="I11" s="39">
        <f>I7*I10</f>
        <v>0</v>
      </c>
      <c r="J11" s="2"/>
      <c r="K11" s="10" t="s">
        <v>17</v>
      </c>
      <c r="L11" s="25">
        <f>(I10*$L$8)+I10</f>
        <v>5297059.8</v>
      </c>
    </row>
    <row r="12" spans="4:17" hidden="1" x14ac:dyDescent="0.25">
      <c r="D12" s="12"/>
      <c r="E12" s="47"/>
      <c r="F12" s="47"/>
      <c r="G12" s="47"/>
      <c r="H12" s="47"/>
      <c r="I12" s="47"/>
      <c r="K12" s="11" t="s">
        <v>18</v>
      </c>
      <c r="L12" s="26">
        <f>(L11*$L$8)+L11</f>
        <v>6141940.8380999994</v>
      </c>
    </row>
    <row r="13" spans="4:17" ht="18" customHeight="1" x14ac:dyDescent="0.25">
      <c r="D13" s="16" t="s">
        <v>3</v>
      </c>
      <c r="E13" s="15">
        <f>E10-E11-E12</f>
        <v>3883140</v>
      </c>
      <c r="F13" s="15"/>
      <c r="G13" s="15">
        <f>G10-G11-G12</f>
        <v>4111560</v>
      </c>
      <c r="H13" s="15"/>
      <c r="I13" s="15">
        <f>I10-I11-I12</f>
        <v>4568400</v>
      </c>
      <c r="J13" s="2"/>
      <c r="K13" s="27" t="s">
        <v>19</v>
      </c>
      <c r="L13" s="28">
        <f>(L12*$L$8)+L12</f>
        <v>7121580.4017769489</v>
      </c>
    </row>
    <row r="14" spans="4:17" ht="16.899999999999999" customHeight="1" x14ac:dyDescent="0.25">
      <c r="D14" s="10" t="s">
        <v>5</v>
      </c>
      <c r="E14" s="18">
        <v>0.1</v>
      </c>
      <c r="F14" s="18"/>
      <c r="G14" s="18">
        <v>0.3</v>
      </c>
      <c r="H14" s="18"/>
      <c r="I14" s="18">
        <v>0.3</v>
      </c>
      <c r="J14" s="2"/>
    </row>
    <row r="15" spans="4:17" ht="16.899999999999999" customHeight="1" x14ac:dyDescent="0.25">
      <c r="D15" s="11" t="s">
        <v>4</v>
      </c>
      <c r="E15" s="19">
        <f>E13*E14</f>
        <v>388314</v>
      </c>
      <c r="F15" s="19"/>
      <c r="G15" s="19">
        <f>G13*G14</f>
        <v>1233468</v>
      </c>
      <c r="H15" s="19"/>
      <c r="I15" s="19">
        <f>I13*I14</f>
        <v>1370520</v>
      </c>
      <c r="J15" s="2"/>
      <c r="K15" s="29" t="s">
        <v>23</v>
      </c>
      <c r="L15" s="12"/>
    </row>
    <row r="16" spans="4:17" ht="16.899999999999999" hidden="1" customHeight="1" outlineLevel="1" x14ac:dyDescent="0.25">
      <c r="D16" s="17" t="s">
        <v>31</v>
      </c>
      <c r="E16" s="20"/>
      <c r="F16" s="20"/>
      <c r="G16" s="20">
        <f>$G$15/3</f>
        <v>411156</v>
      </c>
      <c r="H16" s="20"/>
      <c r="I16" s="20">
        <f>$I$15/3</f>
        <v>456840</v>
      </c>
      <c r="J16" s="2"/>
    </row>
    <row r="17" spans="4:14" ht="16.899999999999999" hidden="1" customHeight="1" outlineLevel="1" x14ac:dyDescent="0.25">
      <c r="D17" s="17" t="s">
        <v>32</v>
      </c>
      <c r="E17" s="20"/>
      <c r="F17" s="20"/>
      <c r="G17" s="20">
        <f>$G$15/3</f>
        <v>411156</v>
      </c>
      <c r="H17" s="20"/>
      <c r="I17" s="20">
        <f>$I$15/3</f>
        <v>456840</v>
      </c>
      <c r="J17" s="2"/>
    </row>
    <row r="18" spans="4:14" ht="16.899999999999999" hidden="1" customHeight="1" outlineLevel="1" x14ac:dyDescent="0.25">
      <c r="D18" s="17" t="s">
        <v>33</v>
      </c>
      <c r="E18" s="20"/>
      <c r="F18" s="20"/>
      <c r="G18" s="20">
        <f>$G$15/3</f>
        <v>411156</v>
      </c>
      <c r="H18" s="20"/>
      <c r="I18" s="20">
        <f>$I$15/3</f>
        <v>456840</v>
      </c>
      <c r="J18" s="2"/>
    </row>
    <row r="19" spans="4:14" ht="16.899999999999999" customHeight="1" collapsed="1" x14ac:dyDescent="0.25">
      <c r="D19" s="12" t="s">
        <v>6</v>
      </c>
      <c r="E19" s="21">
        <f>100%-E14</f>
        <v>0.9</v>
      </c>
      <c r="F19" s="21"/>
      <c r="G19" s="21">
        <f>100%-G14</f>
        <v>0.7</v>
      </c>
      <c r="H19" s="21"/>
      <c r="I19" s="21">
        <f>100%-I14</f>
        <v>0.7</v>
      </c>
      <c r="J19" s="2"/>
      <c r="K19" s="10" t="s">
        <v>28</v>
      </c>
      <c r="L19" s="45">
        <v>0.06</v>
      </c>
    </row>
    <row r="20" spans="4:14" ht="16.899999999999999" customHeight="1" x14ac:dyDescent="0.25">
      <c r="D20" s="16" t="s">
        <v>7</v>
      </c>
      <c r="E20" s="15">
        <f>E13-E15</f>
        <v>3494826</v>
      </c>
      <c r="F20" s="15"/>
      <c r="G20" s="15">
        <f>G13-G15</f>
        <v>2878092</v>
      </c>
      <c r="H20" s="15"/>
      <c r="I20" s="15">
        <f>I13-I15</f>
        <v>3197880</v>
      </c>
      <c r="J20" s="2"/>
      <c r="K20" s="11" t="s">
        <v>24</v>
      </c>
      <c r="L20" s="46">
        <v>100</v>
      </c>
    </row>
    <row r="21" spans="4:14" ht="16.899999999999999" customHeight="1" x14ac:dyDescent="0.25">
      <c r="D21" s="10" t="s">
        <v>8</v>
      </c>
      <c r="E21" s="22">
        <f>E20/E6</f>
        <v>97078.5</v>
      </c>
      <c r="F21" s="22"/>
      <c r="G21" s="22">
        <f>G20/G6</f>
        <v>47968.2</v>
      </c>
      <c r="H21" s="22"/>
      <c r="I21" s="22">
        <f>I20/I6</f>
        <v>26649</v>
      </c>
      <c r="J21" s="2"/>
      <c r="K21" s="11" t="s">
        <v>42</v>
      </c>
      <c r="L21" s="19">
        <f>L20*K32</f>
        <v>115.99999999999999</v>
      </c>
      <c r="N21" s="5"/>
    </row>
    <row r="22" spans="4:14" ht="16.899999999999999" customHeight="1" x14ac:dyDescent="0.25">
      <c r="D22" s="11" t="s">
        <v>9</v>
      </c>
      <c r="E22" s="23"/>
      <c r="F22" s="23"/>
      <c r="G22" s="23">
        <f>G31*G20</f>
        <v>60867.152814320187</v>
      </c>
      <c r="H22" s="23"/>
      <c r="I22" s="23">
        <f>I31*I20</f>
        <v>55237.199486877835</v>
      </c>
      <c r="J22" s="2"/>
      <c r="K22" s="11" t="s">
        <v>25</v>
      </c>
      <c r="L22" s="30">
        <f>((L20*$L$19)+L20)*K32</f>
        <v>122.96</v>
      </c>
    </row>
    <row r="23" spans="4:14" ht="16.899999999999999" customHeight="1" x14ac:dyDescent="0.25">
      <c r="D23" s="11" t="s">
        <v>10</v>
      </c>
      <c r="E23" s="23"/>
      <c r="F23" s="23"/>
      <c r="G23" s="23"/>
      <c r="H23" s="23"/>
      <c r="I23" s="23">
        <f>I31*I20</f>
        <v>55237.199486877835</v>
      </c>
      <c r="J23" s="2"/>
      <c r="K23" s="11" t="s">
        <v>26</v>
      </c>
      <c r="L23" s="30">
        <f>(L22*$L$19)+L22</f>
        <v>130.33759999999998</v>
      </c>
    </row>
    <row r="24" spans="4:14" ht="16.899999999999999" customHeight="1" x14ac:dyDescent="0.25">
      <c r="D24" s="12"/>
      <c r="E24" s="12"/>
      <c r="F24" s="12"/>
      <c r="G24" s="12"/>
      <c r="H24" s="12"/>
      <c r="I24" s="12"/>
      <c r="J24" s="2"/>
      <c r="K24" s="11" t="s">
        <v>27</v>
      </c>
      <c r="L24" s="30">
        <f>(L23*$L$19)+L23</f>
        <v>138.15785599999998</v>
      </c>
    </row>
    <row r="25" spans="4:14" ht="16.899999999999999" customHeight="1" x14ac:dyDescent="0.25">
      <c r="D25" s="24" t="s">
        <v>20</v>
      </c>
      <c r="E25" s="31">
        <f>$L$13-E13</f>
        <v>3238440.4017769489</v>
      </c>
      <c r="F25" s="31"/>
      <c r="G25" s="31">
        <f>$L$13-G13</f>
        <v>3010020.4017769489</v>
      </c>
      <c r="H25" s="31"/>
      <c r="I25" s="31">
        <f>$L$13-I13</f>
        <v>2553180.4017769489</v>
      </c>
      <c r="J25" s="2"/>
      <c r="K25" s="12"/>
      <c r="L25" s="12"/>
    </row>
    <row r="26" spans="4:14" ht="16.899999999999999" customHeight="1" x14ac:dyDescent="0.25">
      <c r="D26" s="16" t="s">
        <v>21</v>
      </c>
      <c r="E26" s="32">
        <f>E25/E13</f>
        <v>0.83397467044117624</v>
      </c>
      <c r="F26" s="32"/>
      <c r="G26" s="32">
        <f>G25/G13</f>
        <v>0.73208718874999978</v>
      </c>
      <c r="H26" s="32"/>
      <c r="I26" s="32">
        <f>I25/I13</f>
        <v>0.55887846987499978</v>
      </c>
      <c r="J26" s="2"/>
      <c r="K26" s="16" t="s">
        <v>29</v>
      </c>
      <c r="L26" s="34">
        <f>L24*L5</f>
        <v>41447.356799999994</v>
      </c>
    </row>
    <row r="27" spans="4:14" ht="16.899999999999999" customHeight="1" x14ac:dyDescent="0.25">
      <c r="D27" s="16" t="s">
        <v>22</v>
      </c>
      <c r="E27" s="33">
        <f>$L$27/E13</f>
        <v>0.12808404579798821</v>
      </c>
      <c r="F27" s="33"/>
      <c r="G27" s="33">
        <f>$L$27/G13</f>
        <v>0.12096826547587775</v>
      </c>
      <c r="H27" s="33"/>
      <c r="I27" s="33">
        <f>$L$27/I13</f>
        <v>0.10887143892828997</v>
      </c>
      <c r="J27" s="2"/>
      <c r="K27" s="10" t="s">
        <v>30</v>
      </c>
      <c r="L27" s="35">
        <f>L26*12</f>
        <v>497368.28159999993</v>
      </c>
    </row>
    <row r="28" spans="4:14" ht="16.899999999999999" customHeight="1" x14ac:dyDescent="0.25">
      <c r="D28" s="12"/>
      <c r="E28" s="12"/>
      <c r="F28" s="12"/>
      <c r="G28" s="12"/>
      <c r="H28" s="12"/>
      <c r="I28" s="12"/>
      <c r="J28" s="2"/>
    </row>
    <row r="29" spans="4:14" ht="3.75" customHeight="1" x14ac:dyDescent="0.25">
      <c r="D29" s="12"/>
      <c r="E29" s="12"/>
      <c r="F29" s="12"/>
      <c r="G29" s="12"/>
      <c r="H29" s="12"/>
      <c r="I29" s="12"/>
      <c r="J29" s="2"/>
      <c r="K29" s="2"/>
      <c r="L29" s="2"/>
    </row>
    <row r="30" spans="4:14" ht="16.899999999999999" customHeight="1" x14ac:dyDescent="0.25">
      <c r="D30" s="10" t="s">
        <v>34</v>
      </c>
      <c r="E30" s="36">
        <f>E26/3</f>
        <v>0.27799155681372539</v>
      </c>
      <c r="F30" s="36"/>
      <c r="G30" s="36">
        <f>G26/3</f>
        <v>0.24402906291666659</v>
      </c>
      <c r="H30" s="36"/>
      <c r="I30" s="36">
        <f>I26/3</f>
        <v>0.1862928232916666</v>
      </c>
      <c r="J30" s="2"/>
      <c r="K30" s="2"/>
      <c r="L30" s="2"/>
    </row>
    <row r="31" spans="4:14" s="7" customFormat="1" ht="16.899999999999999" customHeight="1" x14ac:dyDescent="0.25">
      <c r="D31" s="37" t="s">
        <v>39</v>
      </c>
      <c r="E31" s="37"/>
      <c r="F31" s="37"/>
      <c r="G31" s="37">
        <v>2.1148438901299953E-2</v>
      </c>
      <c r="H31" s="37"/>
      <c r="I31" s="37">
        <v>1.7273068247363202E-2</v>
      </c>
      <c r="J31" s="6"/>
      <c r="K31" s="6"/>
      <c r="L31" s="6"/>
    </row>
    <row r="32" spans="4:14" ht="16.5" customHeight="1" x14ac:dyDescent="0.25">
      <c r="D32" s="37" t="s">
        <v>38</v>
      </c>
      <c r="E32" s="38">
        <v>1.1279999999999999</v>
      </c>
      <c r="F32" s="38"/>
      <c r="G32" s="38">
        <v>1.1279999999999999</v>
      </c>
      <c r="H32" s="38"/>
      <c r="I32" s="38">
        <v>1.1279999999999999</v>
      </c>
      <c r="J32" s="6"/>
      <c r="K32" s="44">
        <v>1.1599999999999999</v>
      </c>
    </row>
  </sheetData>
  <sheetProtection algorithmName="SHA-512" hashValue="SCsZXhbTjcAyEAVZAHcpHZH9DVm/XjfSN3LVkDGjlxEd/0qBdZjyEO1AlfKGYmk233HExgC2m0gWvbvQyBQsSQ==" saltValue="NpR32AHb6JHSoFzmtg4B3A==" spinCount="100000" sheet="1" formatCells="0" formatColumns="0" formatRows="0" insertRows="0" insertHyperlinks="0" sort="0" autoFilter="0" pivotTables="0"/>
  <mergeCells count="2">
    <mergeCell ref="D3:L3"/>
    <mergeCell ref="K2:L2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0B9B4-14A3-6A42-9B77-0E866C0CDD97}">
  <dimension ref="C1:S33"/>
  <sheetViews>
    <sheetView showGridLines="0" topLeftCell="B1" zoomScale="158" zoomScaleNormal="222" zoomScaleSheetLayoutView="160" workbookViewId="0">
      <selection activeCell="L7" sqref="L7:M7"/>
    </sheetView>
  </sheetViews>
  <sheetFormatPr baseColWidth="10" defaultColWidth="11.42578125" defaultRowHeight="15" outlineLevelCol="1" x14ac:dyDescent="0.25"/>
  <cols>
    <col min="1" max="1" width="0" style="1" hidden="1" customWidth="1"/>
    <col min="2" max="2" width="1.42578125" style="1" customWidth="1"/>
    <col min="3" max="3" width="6.140625" style="1" customWidth="1"/>
    <col min="4" max="4" width="27" style="1" customWidth="1"/>
    <col min="5" max="5" width="15" style="1" hidden="1" customWidth="1" outlineLevel="1"/>
    <col min="6" max="6" width="1.7109375" style="1" customWidth="1" collapsed="1"/>
    <col min="7" max="7" width="15" style="1" customWidth="1" outlineLevel="1"/>
    <col min="8" max="8" width="1.7109375" style="1" customWidth="1"/>
    <col min="9" max="9" width="15" style="1" hidden="1" customWidth="1" outlineLevel="1"/>
    <col min="10" max="10" width="9" style="1" customWidth="1" collapsed="1"/>
    <col min="11" max="11" width="18.7109375" style="1" customWidth="1"/>
    <col min="12" max="12" width="18.42578125" style="1" customWidth="1"/>
    <col min="13" max="13" width="7.7109375" style="1" customWidth="1"/>
    <col min="14" max="14" width="10.42578125" style="1" customWidth="1"/>
    <col min="15" max="15" width="36.7109375" style="1" customWidth="1"/>
    <col min="16" max="16" width="21" style="1" bestFit="1" customWidth="1"/>
    <col min="17" max="17" width="16.42578125" style="1" customWidth="1"/>
    <col min="18" max="18" width="14.7109375" style="1" bestFit="1" customWidth="1"/>
    <col min="19" max="19" width="15.7109375" style="1" bestFit="1" customWidth="1"/>
    <col min="20" max="16384" width="11.42578125" style="1"/>
  </cols>
  <sheetData>
    <row r="1" spans="4:19" ht="23.25" customHeight="1" x14ac:dyDescent="0.25"/>
    <row r="2" spans="4:19" s="8" customFormat="1" ht="21" customHeight="1" x14ac:dyDescent="0.25">
      <c r="K2" s="121"/>
      <c r="L2" s="121"/>
      <c r="M2" s="54"/>
      <c r="P2" s="123" t="s">
        <v>49</v>
      </c>
      <c r="Q2" s="123"/>
      <c r="R2" s="123"/>
      <c r="S2" s="123"/>
    </row>
    <row r="3" spans="4:19" s="8" customFormat="1" ht="27" customHeight="1" x14ac:dyDescent="0.3">
      <c r="D3" s="120" t="s">
        <v>58</v>
      </c>
      <c r="E3" s="120"/>
      <c r="F3" s="120"/>
      <c r="G3" s="120"/>
      <c r="H3" s="120"/>
      <c r="I3" s="120"/>
      <c r="J3" s="120"/>
      <c r="K3" s="120"/>
      <c r="L3" s="120"/>
      <c r="M3" s="53"/>
      <c r="P3" s="69" t="s">
        <v>52</v>
      </c>
      <c r="Q3" s="69">
        <v>300</v>
      </c>
      <c r="R3" s="69">
        <v>484.12</v>
      </c>
      <c r="S3" s="69">
        <v>569</v>
      </c>
    </row>
    <row r="4" spans="4:19" x14ac:dyDescent="0.25">
      <c r="L4"/>
      <c r="M4"/>
      <c r="P4" s="70" t="s">
        <v>50</v>
      </c>
      <c r="Q4" s="71">
        <v>19400</v>
      </c>
      <c r="R4" s="71">
        <v>18500</v>
      </c>
      <c r="S4" s="71">
        <v>18500</v>
      </c>
    </row>
    <row r="5" spans="4:19" ht="16.899999999999999" customHeight="1" x14ac:dyDescent="0.25">
      <c r="D5" s="9" t="s">
        <v>0</v>
      </c>
      <c r="E5" s="40" t="s">
        <v>45</v>
      </c>
      <c r="F5" s="40"/>
      <c r="G5" s="40" t="s">
        <v>46</v>
      </c>
      <c r="H5" s="40"/>
      <c r="I5" s="40" t="s">
        <v>47</v>
      </c>
      <c r="J5" s="2"/>
      <c r="K5" s="10" t="s">
        <v>43</v>
      </c>
      <c r="L5" s="124">
        <v>300</v>
      </c>
      <c r="M5" s="124"/>
      <c r="P5" s="1" t="s">
        <v>69</v>
      </c>
      <c r="Q5" s="1">
        <f>1-(Q7/Q4)</f>
        <v>5.1546391752577359E-2</v>
      </c>
      <c r="R5" s="1">
        <f t="shared" ref="R5:S5" si="0">1-(R7/R4)</f>
        <v>4.8648648648648596E-2</v>
      </c>
      <c r="S5" s="1">
        <f t="shared" si="0"/>
        <v>4.8648648648648596E-2</v>
      </c>
    </row>
    <row r="6" spans="4:19" ht="16.899999999999999" customHeight="1" x14ac:dyDescent="0.25">
      <c r="D6" s="10" t="s">
        <v>54</v>
      </c>
      <c r="E6" s="41" t="s">
        <v>57</v>
      </c>
      <c r="F6" s="41"/>
      <c r="G6" s="41" t="s">
        <v>57</v>
      </c>
      <c r="H6" s="41"/>
      <c r="I6" s="41" t="s">
        <v>57</v>
      </c>
      <c r="J6" s="2"/>
      <c r="K6" s="11" t="s">
        <v>35</v>
      </c>
      <c r="L6" s="125">
        <v>19400</v>
      </c>
      <c r="M6" s="125"/>
      <c r="P6" s="1" t="s">
        <v>70</v>
      </c>
      <c r="Q6" s="78">
        <f>Q4-(Q4*Q5)</f>
        <v>18400</v>
      </c>
      <c r="R6" s="78">
        <f>R4-(R4*R5)</f>
        <v>17600</v>
      </c>
      <c r="S6" s="78">
        <f>S4-(S4*S5)</f>
        <v>17600</v>
      </c>
    </row>
    <row r="7" spans="4:19" ht="16.899999999999999" customHeight="1" x14ac:dyDescent="0.25">
      <c r="D7" s="11" t="s">
        <v>55</v>
      </c>
      <c r="E7" s="13">
        <v>500000</v>
      </c>
      <c r="G7" s="13">
        <v>500000</v>
      </c>
      <c r="I7" s="13">
        <v>500000</v>
      </c>
      <c r="K7" s="11" t="s">
        <v>2</v>
      </c>
      <c r="L7" s="126">
        <v>0.05</v>
      </c>
      <c r="M7" s="126"/>
      <c r="P7" s="72" t="s">
        <v>51</v>
      </c>
      <c r="Q7" s="73">
        <v>18400</v>
      </c>
      <c r="R7" s="73">
        <v>17600</v>
      </c>
      <c r="S7" s="73">
        <v>17600</v>
      </c>
    </row>
    <row r="8" spans="4:19" ht="16.899999999999999" customHeight="1" x14ac:dyDescent="0.25">
      <c r="D8" s="11" t="s">
        <v>56</v>
      </c>
      <c r="E8" s="42"/>
      <c r="F8" s="3"/>
      <c r="G8" s="55">
        <f>$L$5*$L$8</f>
        <v>5529000</v>
      </c>
      <c r="H8" s="56"/>
      <c r="I8" s="55">
        <f>$L$5*$L$8</f>
        <v>5529000</v>
      </c>
      <c r="J8" s="2"/>
      <c r="K8" s="11" t="s">
        <v>71</v>
      </c>
      <c r="L8" s="122">
        <f>L6-(L6*L7)</f>
        <v>18430</v>
      </c>
      <c r="M8" s="122"/>
      <c r="P8" s="74" t="s">
        <v>53</v>
      </c>
      <c r="Q8" s="75">
        <f>Q7*Q3</f>
        <v>5520000</v>
      </c>
      <c r="R8" s="75">
        <f>R7*R3</f>
        <v>8520512</v>
      </c>
      <c r="S8" s="75">
        <f>S7*S3</f>
        <v>10014400</v>
      </c>
    </row>
    <row r="9" spans="4:19" ht="16.899999999999999" customHeight="1" x14ac:dyDescent="0.25">
      <c r="D9" s="11" t="s">
        <v>79</v>
      </c>
      <c r="E9" s="42"/>
      <c r="F9" s="3"/>
      <c r="G9" s="93">
        <f>(L5*L6)-G8</f>
        <v>291000</v>
      </c>
      <c r="H9" s="94"/>
      <c r="I9" s="93">
        <f>(L5*L6)-I8</f>
        <v>291000</v>
      </c>
      <c r="J9" s="2"/>
      <c r="K9" s="12"/>
      <c r="L9" s="12"/>
      <c r="M9" s="12"/>
      <c r="P9" s="91"/>
      <c r="Q9" s="92"/>
      <c r="R9" s="92"/>
      <c r="S9" s="92"/>
    </row>
    <row r="10" spans="4:19" ht="16.899999999999999" customHeight="1" x14ac:dyDescent="0.25">
      <c r="D10" s="11" t="s">
        <v>62</v>
      </c>
      <c r="E10" s="42"/>
      <c r="F10" s="3"/>
      <c r="G10" s="62">
        <v>0.5</v>
      </c>
      <c r="H10" s="63"/>
      <c r="I10" s="62">
        <v>0.7</v>
      </c>
      <c r="J10" s="2"/>
      <c r="P10"/>
      <c r="Q10"/>
      <c r="R10"/>
      <c r="S10"/>
    </row>
    <row r="11" spans="4:19" ht="16.899999999999999" hidden="1" customHeight="1" x14ac:dyDescent="0.25">
      <c r="D11" s="11" t="s">
        <v>60</v>
      </c>
      <c r="E11" s="42"/>
      <c r="F11" s="3"/>
      <c r="G11" s="55">
        <f>G8*G10</f>
        <v>2764500</v>
      </c>
      <c r="H11" s="55"/>
      <c r="I11" s="55">
        <f>I8*I10</f>
        <v>3870299.9999999995</v>
      </c>
      <c r="J11" s="2"/>
      <c r="K11" s="12"/>
      <c r="L11" s="59"/>
      <c r="M11" s="59"/>
      <c r="P11"/>
      <c r="Q11"/>
      <c r="R11"/>
      <c r="S11"/>
    </row>
    <row r="12" spans="4:19" ht="16.899999999999999" hidden="1" customHeight="1" x14ac:dyDescent="0.25">
      <c r="D12" s="12" t="s">
        <v>59</v>
      </c>
      <c r="E12" s="57"/>
      <c r="F12" s="13"/>
      <c r="G12" s="60">
        <f>G11/G7</f>
        <v>5.5289999999999999</v>
      </c>
      <c r="H12" s="60"/>
      <c r="I12" s="60">
        <f t="shared" ref="I12" si="1">I11/I7</f>
        <v>7.7405999999999988</v>
      </c>
      <c r="J12" s="2"/>
      <c r="K12" s="12"/>
      <c r="L12" s="12"/>
      <c r="M12" s="12"/>
    </row>
    <row r="13" spans="4:19" ht="16.899999999999999" customHeight="1" x14ac:dyDescent="0.25">
      <c r="D13" s="12" t="s">
        <v>73</v>
      </c>
      <c r="E13" s="64">
        <v>10</v>
      </c>
      <c r="F13" s="13"/>
      <c r="G13" s="61">
        <f>ROUNDUP(G12,0)</f>
        <v>6</v>
      </c>
      <c r="H13" s="61"/>
      <c r="I13" s="61">
        <f t="shared" ref="I13" si="2">ROUNDUP(I12,0)</f>
        <v>8</v>
      </c>
      <c r="J13" s="2"/>
      <c r="K13" s="10" t="s">
        <v>16</v>
      </c>
      <c r="L13" s="79"/>
      <c r="M13" s="50">
        <v>0.1</v>
      </c>
    </row>
    <row r="14" spans="4:19" ht="16.899999999999999" customHeight="1" x14ac:dyDescent="0.25">
      <c r="D14" s="12" t="s">
        <v>74</v>
      </c>
      <c r="E14" s="58">
        <f t="shared" ref="E14" si="3">E13*E7</f>
        <v>5000000</v>
      </c>
      <c r="F14" s="58"/>
      <c r="G14" s="58">
        <f>G13*G7</f>
        <v>3000000</v>
      </c>
      <c r="H14" s="61"/>
      <c r="I14" s="58">
        <f t="shared" ref="I14" si="4">I13*I7</f>
        <v>4000000</v>
      </c>
      <c r="J14" s="2"/>
    </row>
    <row r="15" spans="4:19" ht="16.899999999999999" customHeight="1" x14ac:dyDescent="0.25">
      <c r="D15" s="9" t="s">
        <v>61</v>
      </c>
      <c r="E15" s="14"/>
      <c r="F15" s="14"/>
      <c r="G15" s="65">
        <f>G8-G14</f>
        <v>2529000</v>
      </c>
      <c r="H15" s="65"/>
      <c r="I15" s="65">
        <f t="shared" ref="I15" si="5">I8-I14</f>
        <v>1529000</v>
      </c>
      <c r="J15" s="2"/>
      <c r="K15" s="24" t="s">
        <v>15</v>
      </c>
      <c r="L15" s="86">
        <v>16000</v>
      </c>
      <c r="M15" s="87" t="s">
        <v>75</v>
      </c>
    </row>
    <row r="16" spans="4:19" x14ac:dyDescent="0.25">
      <c r="D16" s="12" t="s">
        <v>63</v>
      </c>
      <c r="E16" s="66">
        <v>0.08</v>
      </c>
      <c r="F16" s="66"/>
      <c r="G16" s="66">
        <v>0.09</v>
      </c>
      <c r="H16" s="66"/>
      <c r="I16" s="66">
        <v>0.1</v>
      </c>
      <c r="J16" s="2"/>
      <c r="K16" s="81" t="s">
        <v>72</v>
      </c>
      <c r="L16" s="82">
        <f>L15*L5</f>
        <v>4800000</v>
      </c>
      <c r="M16" s="80">
        <f>L16/$G$8</f>
        <v>0.86814975583288112</v>
      </c>
    </row>
    <row r="17" spans="3:19" x14ac:dyDescent="0.25">
      <c r="D17" s="12" t="s">
        <v>64</v>
      </c>
      <c r="E17" s="67">
        <f>E14*E16</f>
        <v>400000</v>
      </c>
      <c r="F17" s="67"/>
      <c r="G17" s="67">
        <f t="shared" ref="G17:I17" si="6">G14*G16</f>
        <v>270000</v>
      </c>
      <c r="H17" s="67"/>
      <c r="I17" s="67">
        <f t="shared" si="6"/>
        <v>400000</v>
      </c>
      <c r="J17" s="2"/>
      <c r="K17" s="81" t="s">
        <v>17</v>
      </c>
      <c r="L17" s="82">
        <f>(L16*$M$13)+L16</f>
        <v>5280000</v>
      </c>
      <c r="M17" s="80">
        <f>L17/G8</f>
        <v>0.95496473141616933</v>
      </c>
    </row>
    <row r="18" spans="3:19" ht="18" customHeight="1" x14ac:dyDescent="0.25">
      <c r="D18" s="12" t="s">
        <v>65</v>
      </c>
      <c r="E18" s="68">
        <f>E17/6</f>
        <v>66666.666666666672</v>
      </c>
      <c r="F18" s="68"/>
      <c r="G18" s="68">
        <f>G17/6</f>
        <v>45000</v>
      </c>
      <c r="H18" s="68"/>
      <c r="I18" s="68">
        <f>I17/6</f>
        <v>66666.666666666672</v>
      </c>
      <c r="K18" s="84" t="s">
        <v>18</v>
      </c>
      <c r="L18" s="83">
        <f>(L17*$M$13)+L17</f>
        <v>5808000</v>
      </c>
      <c r="M18" s="80">
        <f>L18/$G$8</f>
        <v>1.0504612045577861</v>
      </c>
    </row>
    <row r="19" spans="3:19" ht="16.899999999999999" customHeight="1" x14ac:dyDescent="0.25">
      <c r="D19" s="12" t="s">
        <v>66</v>
      </c>
      <c r="E19" s="68">
        <f>E17*4</f>
        <v>1600000</v>
      </c>
      <c r="F19" s="68"/>
      <c r="G19" s="68">
        <f t="shared" ref="G19:I19" si="7">G17*4</f>
        <v>1080000</v>
      </c>
      <c r="H19" s="68"/>
      <c r="I19" s="68">
        <f t="shared" si="7"/>
        <v>1600000</v>
      </c>
      <c r="J19" s="2"/>
      <c r="K19" s="84" t="s">
        <v>19</v>
      </c>
      <c r="L19" s="83">
        <f>(L18*$M$13)+L18</f>
        <v>6388800</v>
      </c>
      <c r="M19" s="80">
        <f>L19/$G$8</f>
        <v>1.1555073250135648</v>
      </c>
    </row>
    <row r="20" spans="3:19" ht="16.899999999999999" customHeight="1" x14ac:dyDescent="0.25">
      <c r="D20" s="12" t="s">
        <v>67</v>
      </c>
      <c r="E20" s="76">
        <f>E19/E14</f>
        <v>0.32</v>
      </c>
      <c r="F20" s="77"/>
      <c r="G20" s="76">
        <f t="shared" ref="G20" si="8">G19/G14</f>
        <v>0.36</v>
      </c>
      <c r="H20" s="77"/>
      <c r="I20" s="76">
        <f>I19/I14</f>
        <v>0.4</v>
      </c>
      <c r="J20" s="2"/>
      <c r="K20" s="84" t="s">
        <v>48</v>
      </c>
      <c r="L20" s="83">
        <f>(L19*$M$13)+L19</f>
        <v>7027680</v>
      </c>
      <c r="M20" s="80">
        <f>L20/$G$8</f>
        <v>1.2710580575149213</v>
      </c>
    </row>
    <row r="21" spans="3:19" ht="16.899999999999999" customHeight="1" x14ac:dyDescent="0.25">
      <c r="D21" s="12" t="s">
        <v>81</v>
      </c>
      <c r="G21" s="95">
        <f>G19+L21</f>
        <v>2578680</v>
      </c>
      <c r="H21" s="77"/>
      <c r="I21" s="95">
        <f>I19+L21</f>
        <v>3098680</v>
      </c>
      <c r="J21" s="2"/>
      <c r="K21" s="97" t="s">
        <v>82</v>
      </c>
      <c r="L21" s="85">
        <f>L20-G8</f>
        <v>1498680</v>
      </c>
    </row>
    <row r="22" spans="3:19" ht="16.899999999999999" customHeight="1" x14ac:dyDescent="0.25">
      <c r="D22" s="12" t="s">
        <v>80</v>
      </c>
      <c r="E22" s="89"/>
      <c r="F22" s="77"/>
      <c r="G22" s="96">
        <f>(M20-100%)+G20</f>
        <v>0.63105805751492128</v>
      </c>
      <c r="H22" s="77"/>
      <c r="I22" s="96">
        <f>(M20-100%)+I20</f>
        <v>0.67105805751492131</v>
      </c>
      <c r="J22" s="2"/>
    </row>
    <row r="23" spans="3:19" x14ac:dyDescent="0.25">
      <c r="C23" s="88"/>
      <c r="D23" s="12" t="s">
        <v>68</v>
      </c>
      <c r="E23" s="76">
        <f>E20/4</f>
        <v>0.08</v>
      </c>
      <c r="F23" s="77"/>
      <c r="G23" s="76">
        <f>G22/4</f>
        <v>0.15776451437873032</v>
      </c>
      <c r="H23" s="90"/>
      <c r="I23" s="76">
        <f>I22/4</f>
        <v>0.16776451437873033</v>
      </c>
      <c r="J23" s="88"/>
      <c r="K23" s="88"/>
      <c r="L23" s="2"/>
      <c r="M23" s="2"/>
    </row>
    <row r="24" spans="3:19" s="7" customFormat="1" ht="16.899999999999999" customHeight="1" x14ac:dyDescent="0.25">
      <c r="C24" s="88"/>
      <c r="D24" s="88"/>
      <c r="E24" s="90"/>
      <c r="F24" s="90"/>
      <c r="G24" s="90"/>
      <c r="H24" s="90"/>
      <c r="I24" s="90"/>
      <c r="J24" s="88"/>
      <c r="K24" s="88"/>
      <c r="L24" s="2"/>
      <c r="M24" s="2"/>
      <c r="N24" s="1"/>
      <c r="O24" s="1"/>
      <c r="P24" s="1"/>
      <c r="Q24" s="1"/>
      <c r="R24" s="1"/>
      <c r="S24" s="1"/>
    </row>
    <row r="25" spans="3:19" ht="16.5" customHeight="1" x14ac:dyDescent="0.25">
      <c r="C25" s="88"/>
      <c r="D25" s="88"/>
      <c r="E25" s="90"/>
      <c r="F25" s="90"/>
      <c r="G25" s="90"/>
      <c r="H25" s="90"/>
      <c r="I25" s="90"/>
      <c r="J25" s="88"/>
      <c r="K25" s="88"/>
      <c r="L25" s="6"/>
      <c r="M25" s="6"/>
      <c r="N25" s="7"/>
      <c r="O25" s="7"/>
      <c r="P25" s="7"/>
      <c r="Q25" s="7"/>
      <c r="R25" s="7"/>
      <c r="S25" s="7"/>
    </row>
    <row r="26" spans="3:19" x14ac:dyDescent="0.25">
      <c r="C26" s="88"/>
      <c r="D26" s="88"/>
      <c r="E26" s="90"/>
      <c r="F26" s="90"/>
      <c r="G26" s="90"/>
      <c r="H26" s="90"/>
      <c r="I26" s="90"/>
      <c r="J26" s="88"/>
      <c r="K26" s="88"/>
    </row>
    <row r="27" spans="3:19" x14ac:dyDescent="0.25">
      <c r="C27" s="88"/>
      <c r="D27" s="88"/>
      <c r="E27" s="88"/>
      <c r="F27" s="88"/>
      <c r="G27" s="88"/>
      <c r="H27" s="88"/>
      <c r="I27" s="88"/>
      <c r="J27" s="88"/>
      <c r="K27" s="88"/>
    </row>
    <row r="29" spans="3:19" x14ac:dyDescent="0.25">
      <c r="D29" s="1" t="s">
        <v>78</v>
      </c>
    </row>
    <row r="31" spans="3:19" x14ac:dyDescent="0.25">
      <c r="D31" s="1" t="s">
        <v>76</v>
      </c>
    </row>
    <row r="33" spans="4:4" x14ac:dyDescent="0.25">
      <c r="D33" s="1" t="s">
        <v>77</v>
      </c>
    </row>
  </sheetData>
  <sheetProtection formatCells="0" formatColumns="0" formatRows="0" insertRows="0" insertHyperlinks="0" sort="0" autoFilter="0" pivotTables="0"/>
  <mergeCells count="7">
    <mergeCell ref="L8:M8"/>
    <mergeCell ref="K2:L2"/>
    <mergeCell ref="P2:S2"/>
    <mergeCell ref="D3:L3"/>
    <mergeCell ref="L5:M5"/>
    <mergeCell ref="L6:M6"/>
    <mergeCell ref="L7:M7"/>
  </mergeCells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E18:E19 G18:G19 I18:I19 I21 G21 L8" unlockedFormula="1"/>
    <ignoredError sqref="M1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0F567-9787-8F44-BD55-69C6A153B06A}">
  <dimension ref="C1:S33"/>
  <sheetViews>
    <sheetView showGridLines="0" tabSelected="1" topLeftCell="B1" zoomScale="96" zoomScaleNormal="96" zoomScaleSheetLayoutView="160" workbookViewId="0">
      <selection activeCell="I9" sqref="I9"/>
    </sheetView>
  </sheetViews>
  <sheetFormatPr baseColWidth="10" defaultColWidth="11.42578125" defaultRowHeight="15" outlineLevelCol="1" x14ac:dyDescent="0.25"/>
  <cols>
    <col min="1" max="1" width="0" style="1" hidden="1" customWidth="1"/>
    <col min="2" max="2" width="1.42578125" style="1" customWidth="1"/>
    <col min="3" max="3" width="6.140625" style="1" customWidth="1"/>
    <col min="4" max="4" width="27" style="1" customWidth="1"/>
    <col min="5" max="5" width="15" style="1" customWidth="1" outlineLevel="1"/>
    <col min="6" max="6" width="1.7109375" style="1" customWidth="1"/>
    <col min="7" max="7" width="15" style="1" customWidth="1" outlineLevel="1"/>
    <col min="8" max="8" width="1.7109375" style="1" customWidth="1"/>
    <col min="9" max="9" width="15" style="1" customWidth="1" outlineLevel="1"/>
    <col min="10" max="10" width="9" style="1" customWidth="1"/>
    <col min="11" max="11" width="18.7109375" style="1" customWidth="1"/>
    <col min="12" max="12" width="18.42578125" style="1" customWidth="1"/>
    <col min="13" max="13" width="7.7109375" style="1" customWidth="1"/>
    <col min="14" max="14" width="10.42578125" style="1" customWidth="1"/>
    <col min="15" max="15" width="36.7109375" style="1" customWidth="1"/>
    <col min="16" max="16" width="21" style="1" bestFit="1" customWidth="1"/>
    <col min="17" max="17" width="16.42578125" style="1" customWidth="1"/>
    <col min="18" max="18" width="14.7109375" style="1" bestFit="1" customWidth="1"/>
    <col min="19" max="19" width="15.7109375" style="1" bestFit="1" customWidth="1"/>
    <col min="20" max="16384" width="11.42578125" style="1"/>
  </cols>
  <sheetData>
    <row r="1" spans="4:19" ht="23.25" customHeight="1" x14ac:dyDescent="0.25"/>
    <row r="2" spans="4:19" ht="21" customHeight="1" x14ac:dyDescent="0.25">
      <c r="K2" s="127"/>
      <c r="L2" s="127"/>
      <c r="M2" s="100"/>
      <c r="P2" s="128" t="s">
        <v>49</v>
      </c>
      <c r="Q2" s="128"/>
      <c r="R2" s="128"/>
      <c r="S2" s="128"/>
    </row>
    <row r="3" spans="4:19" ht="27" customHeight="1" x14ac:dyDescent="0.3">
      <c r="D3" s="120" t="s">
        <v>58</v>
      </c>
      <c r="E3" s="120"/>
      <c r="F3" s="120"/>
      <c r="G3" s="120"/>
      <c r="H3" s="120"/>
      <c r="I3" s="120"/>
      <c r="J3" s="120"/>
      <c r="K3" s="120"/>
      <c r="L3" s="120"/>
      <c r="M3" s="101"/>
      <c r="P3" s="102" t="s">
        <v>52</v>
      </c>
      <c r="Q3" s="102">
        <v>300</v>
      </c>
      <c r="R3" s="102">
        <v>484.12</v>
      </c>
      <c r="S3" s="102">
        <v>569</v>
      </c>
    </row>
    <row r="4" spans="4:19" x14ac:dyDescent="0.25">
      <c r="P4" s="70" t="s">
        <v>50</v>
      </c>
      <c r="Q4" s="71">
        <v>19400</v>
      </c>
      <c r="R4" s="71">
        <v>18500</v>
      </c>
      <c r="S4" s="71">
        <v>18500</v>
      </c>
    </row>
    <row r="5" spans="4:19" ht="16.899999999999999" customHeight="1" x14ac:dyDescent="0.25">
      <c r="D5" s="9" t="s">
        <v>0</v>
      </c>
      <c r="E5" s="40" t="s">
        <v>45</v>
      </c>
      <c r="F5" s="40"/>
      <c r="G5" s="40" t="s">
        <v>46</v>
      </c>
      <c r="H5" s="40"/>
      <c r="I5" s="40" t="s">
        <v>47</v>
      </c>
      <c r="J5" s="2"/>
      <c r="K5" s="10" t="s">
        <v>43</v>
      </c>
      <c r="L5" s="124">
        <v>300</v>
      </c>
      <c r="M5" s="124"/>
      <c r="P5" s="1" t="s">
        <v>69</v>
      </c>
      <c r="Q5" s="1">
        <f>1-(Q7/Q4)</f>
        <v>5.1546391752577359E-2</v>
      </c>
      <c r="R5" s="1">
        <f t="shared" ref="R5:S5" si="0">1-(R7/R4)</f>
        <v>4.8648648648648596E-2</v>
      </c>
      <c r="S5" s="1">
        <f t="shared" si="0"/>
        <v>4.8648648648648596E-2</v>
      </c>
    </row>
    <row r="6" spans="4:19" ht="16.899999999999999" customHeight="1" x14ac:dyDescent="0.25">
      <c r="D6" s="10" t="s">
        <v>54</v>
      </c>
      <c r="E6" s="41" t="s">
        <v>57</v>
      </c>
      <c r="F6" s="41"/>
      <c r="G6" s="41" t="s">
        <v>57</v>
      </c>
      <c r="H6" s="41"/>
      <c r="I6" s="41" t="s">
        <v>57</v>
      </c>
      <c r="J6" s="2"/>
      <c r="K6" s="11" t="s">
        <v>35</v>
      </c>
      <c r="L6" s="125">
        <v>14500</v>
      </c>
      <c r="M6" s="125"/>
      <c r="P6" s="1" t="s">
        <v>70</v>
      </c>
      <c r="Q6" s="78">
        <f>Q4-(Q4*Q5)</f>
        <v>18400</v>
      </c>
      <c r="R6" s="78">
        <f>R4-(R4*R5)</f>
        <v>17600</v>
      </c>
      <c r="S6" s="78">
        <f>S4-(S4*S5)</f>
        <v>17600</v>
      </c>
    </row>
    <row r="7" spans="4:19" ht="16.899999999999999" customHeight="1" x14ac:dyDescent="0.25">
      <c r="D7" s="11" t="s">
        <v>55</v>
      </c>
      <c r="E7" s="13">
        <v>500000</v>
      </c>
      <c r="F7" s="8"/>
      <c r="G7" s="13">
        <v>500000</v>
      </c>
      <c r="H7" s="8"/>
      <c r="I7" s="13">
        <v>500000</v>
      </c>
      <c r="K7" s="11" t="s">
        <v>2</v>
      </c>
      <c r="L7" s="129">
        <v>0</v>
      </c>
      <c r="M7" s="129"/>
      <c r="P7" s="72" t="s">
        <v>51</v>
      </c>
      <c r="Q7" s="73">
        <v>18400</v>
      </c>
      <c r="R7" s="73">
        <v>17600</v>
      </c>
      <c r="S7" s="73">
        <v>17600</v>
      </c>
    </row>
    <row r="8" spans="4:19" ht="16.899999999999999" customHeight="1" x14ac:dyDescent="0.25">
      <c r="D8" s="11" t="s">
        <v>56</v>
      </c>
      <c r="E8" s="42"/>
      <c r="F8" s="42"/>
      <c r="G8" s="55">
        <f>$L$5*$L$8*I26</f>
        <v>4906799.9999999991</v>
      </c>
      <c r="H8" s="55"/>
      <c r="I8" s="55">
        <f>$L$5*$L$8*I26</f>
        <v>4906799.9999999991</v>
      </c>
      <c r="J8" s="2"/>
      <c r="K8" s="11" t="s">
        <v>71</v>
      </c>
      <c r="L8" s="122">
        <f>L6-(L6*L7)</f>
        <v>14500</v>
      </c>
      <c r="M8" s="122"/>
      <c r="P8" s="74" t="s">
        <v>53</v>
      </c>
      <c r="Q8" s="75">
        <f>Q7*Q3</f>
        <v>5520000</v>
      </c>
      <c r="R8" s="75">
        <f>R7*R3</f>
        <v>8520512</v>
      </c>
      <c r="S8" s="75">
        <f>S7*S3</f>
        <v>10014400</v>
      </c>
    </row>
    <row r="9" spans="4:19" ht="16.899999999999999" customHeight="1" x14ac:dyDescent="0.25">
      <c r="D9" s="11" t="s">
        <v>79</v>
      </c>
      <c r="E9" s="42"/>
      <c r="F9" s="3"/>
      <c r="G9" s="93">
        <f>(L5*L6)*I26-G8</f>
        <v>0</v>
      </c>
      <c r="H9" s="93"/>
      <c r="I9" s="93">
        <f>(L5*L6)*I26-I8</f>
        <v>0</v>
      </c>
      <c r="J9" s="2"/>
      <c r="K9" s="12"/>
      <c r="L9" s="2"/>
      <c r="M9" s="2"/>
      <c r="P9" s="91"/>
      <c r="Q9" s="92"/>
      <c r="R9" s="92"/>
      <c r="S9" s="92"/>
    </row>
    <row r="10" spans="4:19" ht="16.899999999999999" customHeight="1" x14ac:dyDescent="0.25">
      <c r="D10" s="11" t="s">
        <v>62</v>
      </c>
      <c r="E10" s="42"/>
      <c r="F10" s="3"/>
      <c r="G10" s="105">
        <v>0.5</v>
      </c>
      <c r="H10" s="63"/>
      <c r="I10" s="105">
        <v>0.7</v>
      </c>
      <c r="J10" s="2"/>
    </row>
    <row r="11" spans="4:19" ht="16.899999999999999" hidden="1" customHeight="1" x14ac:dyDescent="0.25">
      <c r="D11" s="103" t="s">
        <v>60</v>
      </c>
      <c r="E11" s="3"/>
      <c r="F11" s="3"/>
      <c r="G11" s="56">
        <f>G8*G10</f>
        <v>2453399.9999999995</v>
      </c>
      <c r="H11" s="56"/>
      <c r="I11" s="56">
        <f>I8*I10</f>
        <v>3434759.9999999991</v>
      </c>
      <c r="J11" s="2"/>
      <c r="K11" s="2"/>
      <c r="L11" s="59"/>
      <c r="M11" s="59"/>
    </row>
    <row r="12" spans="4:19" ht="16.899999999999999" hidden="1" customHeight="1" x14ac:dyDescent="0.25">
      <c r="D12" s="2" t="s">
        <v>59</v>
      </c>
      <c r="E12" s="106"/>
      <c r="F12" s="104"/>
      <c r="G12" s="107">
        <f>G11/G7</f>
        <v>4.9067999999999987</v>
      </c>
      <c r="H12" s="107"/>
      <c r="I12" s="107">
        <f t="shared" ref="I12" si="1">I11/I7</f>
        <v>6.8695199999999979</v>
      </c>
      <c r="J12" s="2"/>
      <c r="K12" s="2"/>
      <c r="L12" s="2"/>
      <c r="M12" s="2"/>
    </row>
    <row r="13" spans="4:19" ht="16.899999999999999" customHeight="1" x14ac:dyDescent="0.25">
      <c r="D13" s="12" t="s">
        <v>73</v>
      </c>
      <c r="E13" s="64">
        <v>10</v>
      </c>
      <c r="F13" s="104"/>
      <c r="G13" s="61">
        <f>ROUNDUP(G12,0)</f>
        <v>5</v>
      </c>
      <c r="H13" s="61"/>
      <c r="I13" s="61">
        <f t="shared" ref="I13" si="2">ROUNDUP(I12,0)</f>
        <v>7</v>
      </c>
      <c r="J13" s="2"/>
      <c r="K13" s="10" t="s">
        <v>16</v>
      </c>
      <c r="L13" s="114"/>
      <c r="M13" s="50">
        <v>0.1</v>
      </c>
    </row>
    <row r="14" spans="4:19" ht="16.899999999999999" customHeight="1" x14ac:dyDescent="0.25">
      <c r="D14" s="12" t="s">
        <v>74</v>
      </c>
      <c r="E14" s="58">
        <f t="shared" ref="E14" si="3">E13*E7</f>
        <v>5000000</v>
      </c>
      <c r="F14" s="108"/>
      <c r="G14" s="116">
        <f>G13*G7</f>
        <v>2500000</v>
      </c>
      <c r="H14" s="61"/>
      <c r="I14" s="116">
        <f t="shared" ref="I14" si="4">I13*I7</f>
        <v>3500000</v>
      </c>
      <c r="J14" s="2"/>
    </row>
    <row r="15" spans="4:19" ht="16.899999999999999" customHeight="1" x14ac:dyDescent="0.25">
      <c r="D15" s="9" t="s">
        <v>83</v>
      </c>
      <c r="E15" s="14"/>
      <c r="F15" s="14"/>
      <c r="G15" s="117">
        <f>G8-G14</f>
        <v>2406799.9999999991</v>
      </c>
      <c r="H15" s="65"/>
      <c r="I15" s="117">
        <f t="shared" ref="I15" si="5">I8-I14</f>
        <v>1406799.9999999991</v>
      </c>
      <c r="J15" s="2"/>
      <c r="K15" s="24" t="s">
        <v>15</v>
      </c>
      <c r="L15" s="109">
        <v>16000</v>
      </c>
      <c r="M15" s="87" t="s">
        <v>75</v>
      </c>
    </row>
    <row r="16" spans="4:19" x14ac:dyDescent="0.25">
      <c r="D16" s="12" t="s">
        <v>63</v>
      </c>
      <c r="E16" s="66">
        <v>0.08</v>
      </c>
      <c r="F16" s="66"/>
      <c r="G16" s="66">
        <v>0.09</v>
      </c>
      <c r="H16" s="66"/>
      <c r="I16" s="66">
        <v>0.1</v>
      </c>
      <c r="J16" s="2"/>
      <c r="K16" s="81" t="s">
        <v>72</v>
      </c>
      <c r="L16" s="82">
        <f>L15*L5</f>
        <v>4800000</v>
      </c>
      <c r="M16" s="80">
        <f>L16/$G$8</f>
        <v>0.97823428711176341</v>
      </c>
    </row>
    <row r="17" spans="3:19" x14ac:dyDescent="0.25">
      <c r="D17" s="12" t="s">
        <v>64</v>
      </c>
      <c r="E17" s="67">
        <f>E14*E16</f>
        <v>400000</v>
      </c>
      <c r="F17" s="67"/>
      <c r="G17" s="67">
        <f t="shared" ref="G17:I17" si="6">G14*G16</f>
        <v>225000</v>
      </c>
      <c r="H17" s="67"/>
      <c r="I17" s="67">
        <f t="shared" si="6"/>
        <v>350000</v>
      </c>
      <c r="J17" s="2"/>
      <c r="K17" s="98" t="s">
        <v>17</v>
      </c>
      <c r="L17" s="99">
        <f>(L16*$M$13)+L16</f>
        <v>5280000</v>
      </c>
      <c r="M17" s="80">
        <f>L17/G8</f>
        <v>1.0760577158229399</v>
      </c>
    </row>
    <row r="18" spans="3:19" ht="18" customHeight="1" x14ac:dyDescent="0.25">
      <c r="D18" s="12" t="s">
        <v>65</v>
      </c>
      <c r="E18" s="112">
        <f>E17/6</f>
        <v>66666.666666666672</v>
      </c>
      <c r="F18" s="112"/>
      <c r="G18" s="112">
        <f>G17/6</f>
        <v>37500</v>
      </c>
      <c r="H18" s="112"/>
      <c r="I18" s="112">
        <f>I17/6</f>
        <v>58333.333333333336</v>
      </c>
      <c r="K18" s="84" t="s">
        <v>18</v>
      </c>
      <c r="L18" s="83">
        <f>(L17*$M$13)+L17</f>
        <v>5808000</v>
      </c>
      <c r="M18" s="80">
        <f>L18/$G$8</f>
        <v>1.1836634874052339</v>
      </c>
    </row>
    <row r="19" spans="3:19" ht="16.899999999999999" customHeight="1" x14ac:dyDescent="0.25">
      <c r="D19" s="12" t="s">
        <v>66</v>
      </c>
      <c r="E19" s="112">
        <f>E17*4</f>
        <v>1600000</v>
      </c>
      <c r="F19" s="112"/>
      <c r="G19" s="112">
        <f t="shared" ref="G19:I19" si="7">G17*4</f>
        <v>900000</v>
      </c>
      <c r="H19" s="112"/>
      <c r="I19" s="112">
        <f t="shared" si="7"/>
        <v>1400000</v>
      </c>
      <c r="J19" s="2"/>
      <c r="K19" s="84" t="s">
        <v>19</v>
      </c>
      <c r="L19" s="83">
        <f>(L18*$M$13)+L18</f>
        <v>6388800</v>
      </c>
      <c r="M19" s="80">
        <f>L19/$G$8</f>
        <v>1.3020298361457572</v>
      </c>
    </row>
    <row r="20" spans="3:19" ht="16.899999999999999" customHeight="1" x14ac:dyDescent="0.25">
      <c r="D20" s="12" t="s">
        <v>67</v>
      </c>
      <c r="E20" s="76">
        <f>E19/E14</f>
        <v>0.32</v>
      </c>
      <c r="F20" s="77"/>
      <c r="G20" s="76">
        <f t="shared" ref="G20" si="8">G19/G14</f>
        <v>0.36</v>
      </c>
      <c r="H20" s="77"/>
      <c r="I20" s="76">
        <f>I19/I14</f>
        <v>0.4</v>
      </c>
      <c r="J20" s="2"/>
      <c r="K20" s="84" t="s">
        <v>48</v>
      </c>
      <c r="L20" s="83">
        <f>(L19*$M$13)+L19</f>
        <v>7027680</v>
      </c>
      <c r="M20" s="80">
        <f>L20/$G$8</f>
        <v>1.4322328197603329</v>
      </c>
    </row>
    <row r="21" spans="3:19" ht="16.899999999999999" customHeight="1" x14ac:dyDescent="0.25">
      <c r="D21" s="12" t="s">
        <v>81</v>
      </c>
      <c r="E21" s="8"/>
      <c r="F21" s="8"/>
      <c r="G21" s="113">
        <f>G19+L21</f>
        <v>3020880.0000000009</v>
      </c>
      <c r="H21" s="77"/>
      <c r="I21" s="113">
        <f>I19+L21</f>
        <v>3520880.0000000009</v>
      </c>
      <c r="J21" s="2"/>
      <c r="K21" s="115" t="s">
        <v>82</v>
      </c>
      <c r="L21" s="85">
        <f>L20-G8</f>
        <v>2120880.0000000009</v>
      </c>
    </row>
    <row r="22" spans="3:19" ht="16.899999999999999" customHeight="1" x14ac:dyDescent="0.25">
      <c r="D22" s="12" t="s">
        <v>80</v>
      </c>
      <c r="E22" s="89"/>
      <c r="F22" s="77"/>
      <c r="G22" s="96">
        <f>(M20-100%)+G20</f>
        <v>0.79223281976033288</v>
      </c>
      <c r="H22" s="77"/>
      <c r="I22" s="96">
        <f>(M20-100%)+I20</f>
        <v>0.83223281976033292</v>
      </c>
      <c r="J22" s="2"/>
    </row>
    <row r="23" spans="3:19" x14ac:dyDescent="0.25">
      <c r="C23" s="110"/>
      <c r="D23" s="12" t="s">
        <v>68</v>
      </c>
      <c r="E23" s="76">
        <f>E20/4</f>
        <v>0.08</v>
      </c>
      <c r="F23" s="77"/>
      <c r="G23" s="76">
        <f>G22/4</f>
        <v>0.19805820494008322</v>
      </c>
      <c r="H23" s="90"/>
      <c r="I23" s="76">
        <f>I22/4</f>
        <v>0.20805820494008323</v>
      </c>
      <c r="J23" s="110"/>
      <c r="K23" s="110"/>
      <c r="L23" s="2"/>
      <c r="M23" s="2"/>
    </row>
    <row r="24" spans="3:19" s="7" customFormat="1" ht="16.899999999999999" customHeight="1" x14ac:dyDescent="0.25">
      <c r="C24" s="110"/>
      <c r="D24" s="110"/>
      <c r="E24" s="90"/>
      <c r="F24" s="90"/>
      <c r="G24" s="90"/>
      <c r="H24" s="90"/>
      <c r="I24" s="90"/>
      <c r="J24" s="110"/>
      <c r="K24" s="110"/>
      <c r="L24" s="2"/>
      <c r="M24" s="2"/>
      <c r="N24" s="1"/>
      <c r="O24" s="1"/>
      <c r="P24" s="1"/>
      <c r="Q24" s="1"/>
      <c r="R24" s="1"/>
      <c r="S24" s="1"/>
    </row>
    <row r="25" spans="3:19" ht="16.5" customHeight="1" x14ac:dyDescent="0.25">
      <c r="C25" s="110"/>
      <c r="D25" s="110"/>
      <c r="E25" s="111"/>
      <c r="F25" s="111"/>
      <c r="G25" s="111"/>
      <c r="H25" s="111"/>
      <c r="I25" s="111"/>
      <c r="J25" s="110"/>
      <c r="K25" s="110"/>
      <c r="L25" s="6"/>
      <c r="M25" s="6"/>
      <c r="N25" s="7"/>
      <c r="O25" s="7"/>
      <c r="P25" s="7"/>
      <c r="Q25" s="7"/>
      <c r="R25" s="7"/>
      <c r="S25" s="7"/>
    </row>
    <row r="26" spans="3:19" x14ac:dyDescent="0.25">
      <c r="C26" s="110"/>
      <c r="D26" s="110"/>
      <c r="E26" s="111"/>
      <c r="F26" s="111"/>
      <c r="G26" s="111"/>
      <c r="H26" s="111"/>
      <c r="I26" s="119">
        <v>1.1279999999999999</v>
      </c>
      <c r="J26" s="110"/>
      <c r="K26" s="118">
        <v>45971</v>
      </c>
    </row>
    <row r="27" spans="3:19" x14ac:dyDescent="0.25">
      <c r="C27" s="110"/>
      <c r="D27" s="110"/>
      <c r="E27" s="110"/>
      <c r="F27" s="110"/>
      <c r="G27" s="110"/>
      <c r="H27" s="110"/>
      <c r="I27" s="110"/>
      <c r="J27" s="110"/>
      <c r="K27" s="110"/>
    </row>
    <row r="29" spans="3:19" x14ac:dyDescent="0.25">
      <c r="D29" s="1" t="s">
        <v>78</v>
      </c>
    </row>
    <row r="31" spans="3:19" x14ac:dyDescent="0.25">
      <c r="D31" s="1" t="s">
        <v>76</v>
      </c>
    </row>
    <row r="33" spans="4:4" x14ac:dyDescent="0.25">
      <c r="D33" s="1" t="s">
        <v>77</v>
      </c>
    </row>
  </sheetData>
  <sheetProtection algorithmName="SHA-512" hashValue="Qp96UI96GTeO/FjpgsDF0wD9wuJOdHEuikJT6B75zq4v18Uekh262JXikacBUlpYbVlbXRmDpSMP4MJcxSxkBw==" saltValue="zPjVsUDoyq2bSQxxcLaAkQ==" spinCount="100000" sheet="1" formatCells="0" formatColumns="0" formatRows="0" insertRows="0" insertHyperlinks="0" sort="0" autoFilter="0" pivotTables="0"/>
  <mergeCells count="7">
    <mergeCell ref="L8:M8"/>
    <mergeCell ref="K2:L2"/>
    <mergeCell ref="P2:S2"/>
    <mergeCell ref="D3:L3"/>
    <mergeCell ref="L5:M5"/>
    <mergeCell ref="L6:M6"/>
    <mergeCell ref="L7:M7"/>
  </mergeCells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8 E18:E19 G18:G19 I18:I19 G21 I21" unlockedFormula="1"/>
    <ignoredError sqref="M17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D02B-6436-A644-8502-96F943BBB2EB}">
  <dimension ref="C1:S33"/>
  <sheetViews>
    <sheetView showGridLines="0" topLeftCell="B1" zoomScale="158" zoomScaleNormal="222" zoomScaleSheetLayoutView="160" workbookViewId="0">
      <selection activeCell="L7" sqref="L7:M7"/>
    </sheetView>
  </sheetViews>
  <sheetFormatPr baseColWidth="10" defaultColWidth="11.42578125" defaultRowHeight="15" outlineLevelCol="1" x14ac:dyDescent="0.25"/>
  <cols>
    <col min="1" max="1" width="0" style="1" hidden="1" customWidth="1"/>
    <col min="2" max="2" width="1.42578125" style="1" customWidth="1"/>
    <col min="3" max="3" width="6.140625" style="1" customWidth="1"/>
    <col min="4" max="4" width="27" style="1" customWidth="1"/>
    <col min="5" max="5" width="15" style="1" customWidth="1" outlineLevel="1"/>
    <col min="6" max="6" width="1.7109375" style="1" customWidth="1"/>
    <col min="7" max="7" width="15" style="1" customWidth="1" outlineLevel="1"/>
    <col min="8" max="8" width="1.7109375" style="1" customWidth="1"/>
    <col min="9" max="9" width="15" style="1" customWidth="1" outlineLevel="1"/>
    <col min="10" max="10" width="9" style="1" customWidth="1"/>
    <col min="11" max="11" width="18.7109375" style="1" customWidth="1"/>
    <col min="12" max="12" width="18.42578125" style="1" customWidth="1"/>
    <col min="13" max="13" width="7.7109375" style="1" customWidth="1"/>
    <col min="14" max="14" width="10.42578125" style="1" customWidth="1"/>
    <col min="15" max="15" width="36.7109375" style="1" customWidth="1"/>
    <col min="16" max="16" width="21" style="1" bestFit="1" customWidth="1"/>
    <col min="17" max="17" width="16.42578125" style="1" customWidth="1"/>
    <col min="18" max="18" width="14.7109375" style="1" bestFit="1" customWidth="1"/>
    <col min="19" max="19" width="15.7109375" style="1" bestFit="1" customWidth="1"/>
    <col min="20" max="16384" width="11.42578125" style="1"/>
  </cols>
  <sheetData>
    <row r="1" spans="4:19" ht="23.25" customHeight="1" x14ac:dyDescent="0.25"/>
    <row r="2" spans="4:19" s="8" customFormat="1" ht="21" customHeight="1" x14ac:dyDescent="0.25">
      <c r="K2" s="121"/>
      <c r="L2" s="121"/>
      <c r="M2" s="54"/>
      <c r="P2" s="123" t="s">
        <v>49</v>
      </c>
      <c r="Q2" s="123"/>
      <c r="R2" s="123"/>
      <c r="S2" s="123"/>
    </row>
    <row r="3" spans="4:19" s="8" customFormat="1" ht="27" customHeight="1" x14ac:dyDescent="0.3">
      <c r="D3" s="120" t="s">
        <v>58</v>
      </c>
      <c r="E3" s="120"/>
      <c r="F3" s="120"/>
      <c r="G3" s="120"/>
      <c r="H3" s="120"/>
      <c r="I3" s="120"/>
      <c r="J3" s="120"/>
      <c r="K3" s="120"/>
      <c r="L3" s="120"/>
      <c r="M3" s="53"/>
      <c r="P3" s="69" t="s">
        <v>52</v>
      </c>
      <c r="Q3" s="69">
        <v>300</v>
      </c>
      <c r="R3" s="69">
        <v>484.12</v>
      </c>
      <c r="S3" s="69">
        <v>569</v>
      </c>
    </row>
    <row r="4" spans="4:19" x14ac:dyDescent="0.25">
      <c r="L4"/>
      <c r="M4"/>
      <c r="P4" s="70" t="s">
        <v>50</v>
      </c>
      <c r="Q4" s="71">
        <v>19400</v>
      </c>
      <c r="R4" s="71">
        <v>18500</v>
      </c>
      <c r="S4" s="71">
        <v>18500</v>
      </c>
    </row>
    <row r="5" spans="4:19" ht="16.899999999999999" customHeight="1" x14ac:dyDescent="0.25">
      <c r="D5" s="9" t="s">
        <v>0</v>
      </c>
      <c r="E5" s="40" t="s">
        <v>45</v>
      </c>
      <c r="F5" s="40"/>
      <c r="G5" s="40" t="s">
        <v>46</v>
      </c>
      <c r="H5" s="40"/>
      <c r="I5" s="40" t="s">
        <v>47</v>
      </c>
      <c r="J5" s="2"/>
      <c r="K5" s="10" t="s">
        <v>43</v>
      </c>
      <c r="L5" s="124">
        <v>568.9</v>
      </c>
      <c r="M5" s="124"/>
      <c r="P5" s="1" t="s">
        <v>69</v>
      </c>
      <c r="Q5" s="1">
        <f>1-(Q7/Q4)</f>
        <v>5.1546391752577359E-2</v>
      </c>
      <c r="R5" s="1">
        <f t="shared" ref="R5:S5" si="0">1-(R7/R4)</f>
        <v>4.8648648648648596E-2</v>
      </c>
      <c r="S5" s="1">
        <f t="shared" si="0"/>
        <v>4.8648648648648596E-2</v>
      </c>
    </row>
    <row r="6" spans="4:19" ht="16.899999999999999" customHeight="1" x14ac:dyDescent="0.25">
      <c r="D6" s="10" t="s">
        <v>54</v>
      </c>
      <c r="E6" s="41" t="s">
        <v>57</v>
      </c>
      <c r="F6" s="41"/>
      <c r="G6" s="41" t="s">
        <v>57</v>
      </c>
      <c r="H6" s="41"/>
      <c r="I6" s="41" t="s">
        <v>57</v>
      </c>
      <c r="J6" s="2"/>
      <c r="K6" s="11" t="s">
        <v>35</v>
      </c>
      <c r="L6" s="125">
        <v>18500</v>
      </c>
      <c r="M6" s="125"/>
      <c r="P6" s="1" t="s">
        <v>70</v>
      </c>
      <c r="Q6" s="78">
        <f>Q4-(Q4*Q5)</f>
        <v>18400</v>
      </c>
      <c r="R6" s="78">
        <f>R4-(R4*R5)</f>
        <v>17600</v>
      </c>
      <c r="S6" s="78">
        <f>S4-(S4*S5)</f>
        <v>17600</v>
      </c>
    </row>
    <row r="7" spans="4:19" ht="16.899999999999999" customHeight="1" x14ac:dyDescent="0.25">
      <c r="D7" s="11" t="s">
        <v>55</v>
      </c>
      <c r="E7" s="13">
        <v>500000</v>
      </c>
      <c r="G7" s="13">
        <v>500000</v>
      </c>
      <c r="I7" s="13">
        <v>500000</v>
      </c>
      <c r="K7" s="11" t="s">
        <v>2</v>
      </c>
      <c r="L7" s="129">
        <v>4.8000000000000001E-2</v>
      </c>
      <c r="M7" s="129"/>
      <c r="P7" s="72" t="s">
        <v>51</v>
      </c>
      <c r="Q7" s="73">
        <v>18400</v>
      </c>
      <c r="R7" s="73">
        <v>17600</v>
      </c>
      <c r="S7" s="73">
        <v>17600</v>
      </c>
    </row>
    <row r="8" spans="4:19" ht="16.899999999999999" customHeight="1" x14ac:dyDescent="0.25">
      <c r="D8" s="11" t="s">
        <v>56</v>
      </c>
      <c r="E8" s="42"/>
      <c r="F8" s="3"/>
      <c r="G8" s="55">
        <f>$L$5*$L$8</f>
        <v>10019466.799999999</v>
      </c>
      <c r="H8" s="56"/>
      <c r="I8" s="55">
        <f>$L$5*$L$8</f>
        <v>10019466.799999999</v>
      </c>
      <c r="J8" s="2"/>
      <c r="K8" s="11" t="s">
        <v>71</v>
      </c>
      <c r="L8" s="122">
        <f>L6-(L6*L7)</f>
        <v>17612</v>
      </c>
      <c r="M8" s="122"/>
      <c r="P8" s="74" t="s">
        <v>53</v>
      </c>
      <c r="Q8" s="75">
        <f>Q7*Q3</f>
        <v>5520000</v>
      </c>
      <c r="R8" s="75">
        <f>R7*R3</f>
        <v>8520512</v>
      </c>
      <c r="S8" s="75">
        <f>S7*S3</f>
        <v>10014400</v>
      </c>
    </row>
    <row r="9" spans="4:19" ht="16.899999999999999" customHeight="1" x14ac:dyDescent="0.25">
      <c r="D9" s="11" t="s">
        <v>79</v>
      </c>
      <c r="E9" s="42"/>
      <c r="F9" s="3"/>
      <c r="G9" s="93">
        <f>(L5*L6)-G8</f>
        <v>505183.20000000112</v>
      </c>
      <c r="H9" s="94"/>
      <c r="I9" s="93">
        <f>(L5*L6)-I8</f>
        <v>505183.20000000112</v>
      </c>
      <c r="J9" s="2"/>
      <c r="K9" s="12"/>
      <c r="L9" s="12"/>
      <c r="M9" s="12"/>
      <c r="P9" s="91"/>
      <c r="Q9" s="92"/>
      <c r="R9" s="92"/>
      <c r="S9" s="92"/>
    </row>
    <row r="10" spans="4:19" ht="16.899999999999999" customHeight="1" x14ac:dyDescent="0.25">
      <c r="D10" s="11" t="s">
        <v>62</v>
      </c>
      <c r="E10" s="42"/>
      <c r="F10" s="3"/>
      <c r="G10" s="62">
        <v>0.5</v>
      </c>
      <c r="H10" s="63"/>
      <c r="I10" s="62">
        <v>0.7</v>
      </c>
      <c r="J10" s="2"/>
      <c r="P10"/>
      <c r="Q10"/>
      <c r="R10"/>
      <c r="S10"/>
    </row>
    <row r="11" spans="4:19" ht="16.899999999999999" hidden="1" customHeight="1" x14ac:dyDescent="0.25">
      <c r="D11" s="11" t="s">
        <v>60</v>
      </c>
      <c r="E11" s="42"/>
      <c r="F11" s="3"/>
      <c r="G11" s="55">
        <f>G8*G10</f>
        <v>5009733.3999999994</v>
      </c>
      <c r="H11" s="55"/>
      <c r="I11" s="55">
        <f>I8*I10</f>
        <v>7013626.7599999988</v>
      </c>
      <c r="J11" s="2"/>
      <c r="K11" s="12"/>
      <c r="L11" s="59"/>
      <c r="M11" s="59"/>
      <c r="P11"/>
      <c r="Q11"/>
      <c r="R11"/>
      <c r="S11"/>
    </row>
    <row r="12" spans="4:19" ht="16.899999999999999" hidden="1" customHeight="1" x14ac:dyDescent="0.25">
      <c r="D12" s="12" t="s">
        <v>59</v>
      </c>
      <c r="E12" s="57"/>
      <c r="F12" s="13"/>
      <c r="G12" s="60">
        <f>G11/G7</f>
        <v>10.019466799999998</v>
      </c>
      <c r="H12" s="60"/>
      <c r="I12" s="60">
        <f t="shared" ref="I12" si="1">I11/I7</f>
        <v>14.027253519999997</v>
      </c>
      <c r="J12" s="2"/>
      <c r="K12" s="12"/>
      <c r="L12" s="12"/>
      <c r="M12" s="12"/>
    </row>
    <row r="13" spans="4:19" ht="16.899999999999999" customHeight="1" x14ac:dyDescent="0.25">
      <c r="D13" s="12" t="s">
        <v>73</v>
      </c>
      <c r="E13" s="64">
        <v>10</v>
      </c>
      <c r="F13" s="13"/>
      <c r="G13" s="61">
        <f>ROUNDUP(G12,0)</f>
        <v>11</v>
      </c>
      <c r="H13" s="61"/>
      <c r="I13" s="61">
        <f t="shared" ref="I13" si="2">ROUNDUP(I12,0)</f>
        <v>15</v>
      </c>
      <c r="J13" s="2"/>
      <c r="K13" s="10" t="s">
        <v>16</v>
      </c>
      <c r="L13" s="79"/>
      <c r="M13" s="50">
        <v>0.1</v>
      </c>
    </row>
    <row r="14" spans="4:19" ht="16.899999999999999" customHeight="1" x14ac:dyDescent="0.25">
      <c r="D14" s="12" t="s">
        <v>74</v>
      </c>
      <c r="E14" s="58">
        <f t="shared" ref="E14" si="3">E13*E7</f>
        <v>5000000</v>
      </c>
      <c r="F14" s="58"/>
      <c r="G14" s="58">
        <f>G13*G7</f>
        <v>5500000</v>
      </c>
      <c r="H14" s="61"/>
      <c r="I14" s="58">
        <f t="shared" ref="I14" si="4">I13*I7</f>
        <v>7500000</v>
      </c>
      <c r="J14" s="2"/>
    </row>
    <row r="15" spans="4:19" ht="16.899999999999999" customHeight="1" x14ac:dyDescent="0.25">
      <c r="D15" s="9" t="s">
        <v>61</v>
      </c>
      <c r="E15" s="14"/>
      <c r="F15" s="14"/>
      <c r="G15" s="65">
        <f>G8-G14</f>
        <v>4519466.7999999989</v>
      </c>
      <c r="H15" s="65"/>
      <c r="I15" s="65">
        <f t="shared" ref="I15" si="5">I8-I14</f>
        <v>2519466.7999999989</v>
      </c>
      <c r="J15" s="2"/>
      <c r="K15" s="24" t="s">
        <v>15</v>
      </c>
      <c r="L15" s="86">
        <v>16000</v>
      </c>
      <c r="M15" s="87" t="s">
        <v>75</v>
      </c>
    </row>
    <row r="16" spans="4:19" x14ac:dyDescent="0.25">
      <c r="D16" s="12" t="s">
        <v>63</v>
      </c>
      <c r="E16" s="66">
        <v>0.08</v>
      </c>
      <c r="F16" s="66"/>
      <c r="G16" s="66">
        <v>0.09</v>
      </c>
      <c r="H16" s="66"/>
      <c r="I16" s="66">
        <v>0.1</v>
      </c>
      <c r="J16" s="2"/>
      <c r="K16" s="81" t="s">
        <v>72</v>
      </c>
      <c r="L16" s="82">
        <f>L15*L5</f>
        <v>9102400</v>
      </c>
      <c r="M16" s="80">
        <f>L16/$G$8</f>
        <v>0.90847149670679095</v>
      </c>
    </row>
    <row r="17" spans="3:19" x14ac:dyDescent="0.25">
      <c r="D17" s="12" t="s">
        <v>64</v>
      </c>
      <c r="E17" s="67">
        <f>E14*E16</f>
        <v>400000</v>
      </c>
      <c r="F17" s="67">
        <f t="shared" ref="F17:I17" si="6">F14*F16</f>
        <v>0</v>
      </c>
      <c r="G17" s="67">
        <f t="shared" si="6"/>
        <v>495000</v>
      </c>
      <c r="H17" s="67">
        <f t="shared" si="6"/>
        <v>0</v>
      </c>
      <c r="I17" s="67">
        <f t="shared" si="6"/>
        <v>750000</v>
      </c>
      <c r="J17" s="2"/>
      <c r="K17" s="98" t="s">
        <v>17</v>
      </c>
      <c r="L17" s="99">
        <f>(L16*$M$13)+L16</f>
        <v>10012640</v>
      </c>
      <c r="M17" s="80">
        <f>L17/G8</f>
        <v>0.99931864637747003</v>
      </c>
    </row>
    <row r="18" spans="3:19" ht="18" customHeight="1" x14ac:dyDescent="0.25">
      <c r="D18" s="12" t="s">
        <v>65</v>
      </c>
      <c r="E18" s="68">
        <f>E17/6</f>
        <v>66666.666666666672</v>
      </c>
      <c r="F18" s="68">
        <f>G17/6</f>
        <v>82500</v>
      </c>
      <c r="G18" s="68">
        <f>G17/6</f>
        <v>82500</v>
      </c>
      <c r="H18" s="68"/>
      <c r="I18" s="68">
        <f>I17/6</f>
        <v>125000</v>
      </c>
      <c r="K18" s="84" t="s">
        <v>18</v>
      </c>
      <c r="L18" s="83">
        <f>(L17*$M$13)+L17</f>
        <v>11013904</v>
      </c>
      <c r="M18" s="80">
        <f>L18/$G$8</f>
        <v>1.0992505110152171</v>
      </c>
    </row>
    <row r="19" spans="3:19" ht="16.899999999999999" customHeight="1" x14ac:dyDescent="0.25">
      <c r="D19" s="12" t="s">
        <v>66</v>
      </c>
      <c r="E19" s="68">
        <f>E17*4</f>
        <v>1600000</v>
      </c>
      <c r="F19" s="68">
        <f t="shared" ref="F19:I19" si="7">F17*4</f>
        <v>0</v>
      </c>
      <c r="G19" s="68">
        <f t="shared" si="7"/>
        <v>1980000</v>
      </c>
      <c r="H19" s="68">
        <f t="shared" si="7"/>
        <v>0</v>
      </c>
      <c r="I19" s="68">
        <f t="shared" si="7"/>
        <v>3000000</v>
      </c>
      <c r="J19" s="2"/>
      <c r="K19" s="84" t="s">
        <v>19</v>
      </c>
      <c r="L19" s="83">
        <f>(L18*$M$13)+L18</f>
        <v>12115294.4</v>
      </c>
      <c r="M19" s="80">
        <f>L19/$G$8</f>
        <v>1.2091755621167388</v>
      </c>
    </row>
    <row r="20" spans="3:19" ht="16.899999999999999" customHeight="1" x14ac:dyDescent="0.25">
      <c r="D20" s="12" t="s">
        <v>67</v>
      </c>
      <c r="E20" s="76">
        <f>E19/E14</f>
        <v>0.32</v>
      </c>
      <c r="F20" s="77"/>
      <c r="G20" s="76">
        <f t="shared" ref="G20" si="8">G19/G14</f>
        <v>0.36</v>
      </c>
      <c r="H20" s="77"/>
      <c r="I20" s="76">
        <f>I19/I14</f>
        <v>0.4</v>
      </c>
      <c r="J20" s="2"/>
      <c r="K20" s="84" t="s">
        <v>48</v>
      </c>
      <c r="L20" s="83">
        <f>(L19*$M$13)+L19</f>
        <v>13326823.84</v>
      </c>
      <c r="M20" s="80">
        <f>L20/$G$8</f>
        <v>1.3300931183284126</v>
      </c>
    </row>
    <row r="21" spans="3:19" ht="16.899999999999999" customHeight="1" x14ac:dyDescent="0.25">
      <c r="D21" s="12" t="s">
        <v>81</v>
      </c>
      <c r="G21" s="95">
        <f>G19+L21</f>
        <v>5287357.040000001</v>
      </c>
      <c r="H21" s="77"/>
      <c r="I21" s="95">
        <f>I19+L21</f>
        <v>6307357.040000001</v>
      </c>
      <c r="J21" s="2"/>
      <c r="K21" s="97" t="s">
        <v>82</v>
      </c>
      <c r="L21" s="85">
        <f>L20-G8</f>
        <v>3307357.040000001</v>
      </c>
    </row>
    <row r="22" spans="3:19" ht="16.899999999999999" customHeight="1" x14ac:dyDescent="0.25">
      <c r="D22" s="12" t="s">
        <v>80</v>
      </c>
      <c r="E22" s="89"/>
      <c r="F22" s="77"/>
      <c r="G22" s="96">
        <f>(M20-100%)+G20</f>
        <v>0.69009311832841258</v>
      </c>
      <c r="H22" s="77"/>
      <c r="I22" s="96">
        <f>(M20-100%)+I20</f>
        <v>0.73009311832841262</v>
      </c>
      <c r="J22" s="2"/>
    </row>
    <row r="23" spans="3:19" x14ac:dyDescent="0.25">
      <c r="C23" s="88"/>
      <c r="D23" s="12" t="s">
        <v>68</v>
      </c>
      <c r="E23" s="76">
        <f>E20/4</f>
        <v>0.08</v>
      </c>
      <c r="F23" s="77"/>
      <c r="G23" s="76">
        <f>G22/4</f>
        <v>0.17252327958210315</v>
      </c>
      <c r="H23" s="90"/>
      <c r="I23" s="76">
        <f>I22/4</f>
        <v>0.18252327958210315</v>
      </c>
      <c r="J23" s="88"/>
      <c r="K23" s="88"/>
      <c r="L23" s="2"/>
      <c r="M23" s="2"/>
    </row>
    <row r="24" spans="3:19" s="7" customFormat="1" ht="16.899999999999999" customHeight="1" x14ac:dyDescent="0.25">
      <c r="C24" s="88"/>
      <c r="D24" s="88"/>
      <c r="E24" s="90"/>
      <c r="F24" s="90"/>
      <c r="G24" s="90"/>
      <c r="H24" s="90"/>
      <c r="I24" s="90"/>
      <c r="J24" s="88"/>
      <c r="K24" s="88"/>
      <c r="L24" s="2"/>
      <c r="M24" s="2"/>
      <c r="N24" s="1"/>
      <c r="O24" s="1"/>
      <c r="P24" s="1"/>
      <c r="Q24" s="1"/>
      <c r="R24" s="1"/>
      <c r="S24" s="1"/>
    </row>
    <row r="25" spans="3:19" ht="16.5" customHeight="1" x14ac:dyDescent="0.25">
      <c r="C25" s="88"/>
      <c r="D25" s="88"/>
      <c r="E25" s="90"/>
      <c r="F25" s="90"/>
      <c r="G25" s="90"/>
      <c r="H25" s="90"/>
      <c r="I25" s="90"/>
      <c r="J25" s="88"/>
      <c r="K25" s="88"/>
      <c r="L25" s="6"/>
      <c r="M25" s="6"/>
      <c r="N25" s="7"/>
      <c r="O25" s="7"/>
      <c r="P25" s="7"/>
      <c r="Q25" s="7"/>
      <c r="R25" s="7"/>
      <c r="S25" s="7"/>
    </row>
    <row r="26" spans="3:19" x14ac:dyDescent="0.25">
      <c r="C26" s="88"/>
      <c r="D26" s="88"/>
      <c r="E26" s="90"/>
      <c r="F26" s="90"/>
      <c r="G26" s="90"/>
      <c r="H26" s="90"/>
      <c r="I26" s="90"/>
      <c r="J26" s="88"/>
      <c r="K26" s="88"/>
    </row>
    <row r="27" spans="3:19" x14ac:dyDescent="0.25">
      <c r="C27" s="88"/>
      <c r="D27" s="88"/>
      <c r="E27" s="88"/>
      <c r="F27" s="88"/>
      <c r="G27" s="88"/>
      <c r="H27" s="88"/>
      <c r="I27" s="88"/>
      <c r="J27" s="88"/>
      <c r="K27" s="88"/>
    </row>
    <row r="29" spans="3:19" x14ac:dyDescent="0.25">
      <c r="D29" s="1" t="s">
        <v>78</v>
      </c>
    </row>
    <row r="31" spans="3:19" x14ac:dyDescent="0.25">
      <c r="D31" s="1" t="s">
        <v>76</v>
      </c>
    </row>
    <row r="33" spans="4:4" x14ac:dyDescent="0.25">
      <c r="D33" s="1" t="s">
        <v>77</v>
      </c>
    </row>
  </sheetData>
  <sheetProtection formatCells="0" formatColumns="0" formatRows="0" insertRows="0" insertHyperlinks="0" sort="0" autoFilter="0" pivotTables="0"/>
  <mergeCells count="7">
    <mergeCell ref="L8:M8"/>
    <mergeCell ref="K2:L2"/>
    <mergeCell ref="P2:S2"/>
    <mergeCell ref="D3:L3"/>
    <mergeCell ref="L5:M5"/>
    <mergeCell ref="L6:M6"/>
    <mergeCell ref="L7:M7"/>
  </mergeCells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M17" formula="1"/>
    <ignoredError sqref="F19:H19 G18 L8 G21 I18:I19 E18:E19 I21" unlockedFormula="1"/>
    <ignoredError sqref="F18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PROYECCIÓN</vt:lpstr>
      <vt:lpstr>300</vt:lpstr>
      <vt:lpstr>SIMULADOR SMART</vt:lpstr>
      <vt:lpstr>568</vt:lpstr>
      <vt:lpstr>'300'!Área_de_impresión</vt:lpstr>
      <vt:lpstr>'568'!Área_de_impresión</vt:lpstr>
      <vt:lpstr>PROYECCIÓN!Área_de_impresión</vt:lpstr>
      <vt:lpstr>'SIMULADOR SMART'!Área_de_impresión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David Ramírez Corona</dc:creator>
  <cp:lastModifiedBy>EMMANUEL GARCIA ROMAN</cp:lastModifiedBy>
  <cp:lastPrinted>2025-10-28T20:10:37Z</cp:lastPrinted>
  <dcterms:created xsi:type="dcterms:W3CDTF">2024-04-17T15:19:13Z</dcterms:created>
  <dcterms:modified xsi:type="dcterms:W3CDTF">2025-11-27T18:53:44Z</dcterms:modified>
</cp:coreProperties>
</file>